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https://crautonomagovco-my.sharepoint.com/personal/rmoreno_crautonoma_gov_co/Documents/Escritorio/"/>
    </mc:Choice>
  </mc:AlternateContent>
  <xr:revisionPtr revIDLastSave="13" documentId="13_ncr:1_{FE02508E-AB8E-4F0F-B335-EA869DB98D59}" xr6:coauthVersionLast="46" xr6:coauthVersionMax="47" xr10:uidLastSave="{E8B54595-E3EF-437E-B5E3-278E28D07894}"/>
  <bookViews>
    <workbookView xWindow="-120" yWindow="-120" windowWidth="29040" windowHeight="15840" tabRatio="1000" activeTab="1" xr2:uid="{00000000-000D-0000-FFFF-FFFF00000000}"/>
  </bookViews>
  <sheets>
    <sheet name="Datos Generales" sheetId="38" r:id="rId1"/>
    <sheet name="Anexo 1 - Inf Gest- Cons. Direc" sheetId="51" r:id="rId2"/>
    <sheet name="Anexo 1- Inf Gest- CARdinal" sheetId="34" state="hidden" r:id="rId3"/>
    <sheet name="Hoja1" sheetId="41" state="hidden" r:id="rId4"/>
    <sheet name="Anexo2 Protocolo Inf Gestión GD" sheetId="47" state="hidden" r:id="rId5"/>
    <sheet name="Anexo 5.1 INGRESOS (2)" sheetId="49" state="hidden" r:id="rId6"/>
    <sheet name="PROTOCOLO INGRESOS (2)" sheetId="50" state="hidden" r:id="rId7"/>
    <sheet name="Anexo 5.2. informe Gastos" sheetId="37" state="hidden" r:id="rId8"/>
    <sheet name="Anexo 5.2-A. Gastos" sheetId="48" state="hidden" r:id="rId9"/>
    <sheet name="Protocolo Gastos" sheetId="46" state="hidden" r:id="rId10"/>
  </sheets>
  <externalReferences>
    <externalReference r:id="rId11"/>
    <externalReference r:id="rId12"/>
    <externalReference r:id="rId13"/>
    <externalReference r:id="rId14"/>
  </externalReferences>
  <definedNames>
    <definedName name="_xlnm._FilterDatabase" localSheetId="2" hidden="1">'Anexo 1- Inf Gest- CARdinal'!$A$7:$AQ$298</definedName>
    <definedName name="_xlnm._FilterDatabase" localSheetId="5" hidden="1">'Anexo 5.1 INGRESOS (2)'!$A$6:$Y$524</definedName>
    <definedName name="_xlnm.Print_Area" localSheetId="2">'Anexo 1- Inf Gest- CARdinal'!$A$3:$AL$297</definedName>
    <definedName name="_xlnm.Print_Area" localSheetId="5">'Anexo 5.1 INGRESOS (2)'!#REF!</definedName>
    <definedName name="_xlnm.Print_Area" localSheetId="7">'Anexo 5.2. informe Gastos'!#REF!</definedName>
    <definedName name="_xlnm.Print_Area" localSheetId="8">'Anexo 5.2-A. Gastos'!#REF!</definedName>
    <definedName name="_xlnm.Print_Area" localSheetId="4">'Anexo2 Protocolo Inf Gestión GD'!$A$1:$B$35</definedName>
    <definedName name="Lista_CAR" localSheetId="5">'[1]Datos Generales'!$H$5:$H$37</definedName>
    <definedName name="Lista_CAR" localSheetId="4">'[2]Datos Generales'!$H$5:$H$36</definedName>
    <definedName name="Lista_CAR" localSheetId="9">'[2]Datos Generales'!$H$5:$H$36</definedName>
    <definedName name="Lista_CAR" localSheetId="6">'[3]Datos Generales'!$H$5:$H$37</definedName>
    <definedName name="Lista_CAR">'Datos Generales'!$H$5:$H$37</definedName>
    <definedName name="REPORTE" comment="SI SE REPORTA" localSheetId="5">[1]Formulas!$F$33:$F$34</definedName>
    <definedName name="REPORTE" comment="SI SE REPORTA" localSheetId="4">[2]Formulas!$F$33:$F$34</definedName>
    <definedName name="REPORTE" comment="SI SE REPORTA" localSheetId="9">[2]Formulas!$F$33:$F$34</definedName>
    <definedName name="REPORTE" comment="SI SE REPORTA" localSheetId="6">[3]Formulas!$F$33:$F$34</definedName>
    <definedName name="REPORTE" comment="SI SE REPORTA">#REF!</definedName>
    <definedName name="SI" comment="OPCION SI O NO" localSheetId="5">[1]Formulas!$D$33:$D$34</definedName>
    <definedName name="SI" comment="OPCION SI O NO" localSheetId="4">[2]Formulas!$D$33:$D$34</definedName>
    <definedName name="SI" comment="OPCION SI O NO" localSheetId="9">[2]Formulas!$D$33:$D$34</definedName>
    <definedName name="SI" comment="OPCION SI O NO" localSheetId="6">[3]Formulas!$D$33:$D$34</definedName>
    <definedName name="SI" comment="OPCION SI O NO">#REF!</definedName>
    <definedName name="Vigencias">'Datos Generales'!$H$39:$H$46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93" i="51" l="1"/>
  <c r="AE293" i="51"/>
  <c r="AD293" i="51"/>
  <c r="AB293" i="51"/>
  <c r="AK292" i="51"/>
  <c r="AJ292" i="51"/>
  <c r="AH292" i="51"/>
  <c r="AD292" i="51"/>
  <c r="AB292" i="51"/>
  <c r="U292" i="51"/>
  <c r="V292" i="51" s="1"/>
  <c r="I292" i="51"/>
  <c r="H292" i="51"/>
  <c r="AJ291" i="51"/>
  <c r="AK291" i="51" s="1"/>
  <c r="AH291" i="51"/>
  <c r="AE291" i="51"/>
  <c r="AD291" i="51"/>
  <c r="AB291" i="51"/>
  <c r="U291" i="51"/>
  <c r="V291" i="51" s="1"/>
  <c r="I291" i="51"/>
  <c r="H291" i="51"/>
  <c r="H289" i="51" s="1"/>
  <c r="H286" i="51" s="1"/>
  <c r="AJ290" i="51"/>
  <c r="AK290" i="51" s="1"/>
  <c r="AG290" i="51"/>
  <c r="AF290" i="51"/>
  <c r="AE290" i="51"/>
  <c r="AE289" i="51" s="1"/>
  <c r="AD290" i="51"/>
  <c r="AB290" i="51"/>
  <c r="Z290" i="51"/>
  <c r="U290" i="51"/>
  <c r="V290" i="51" s="1"/>
  <c r="V289" i="51" s="1"/>
  <c r="I290" i="51"/>
  <c r="H290" i="51"/>
  <c r="AI289" i="51"/>
  <c r="AF289" i="51"/>
  <c r="AC289" i="51"/>
  <c r="AA289" i="51"/>
  <c r="AB289" i="51" s="1"/>
  <c r="Z289" i="51"/>
  <c r="Y289" i="51"/>
  <c r="I289" i="51"/>
  <c r="AK288" i="51"/>
  <c r="AJ288" i="51"/>
  <c r="AJ287" i="51" s="1"/>
  <c r="AH288" i="51"/>
  <c r="AE288" i="51"/>
  <c r="AE287" i="51" s="1"/>
  <c r="AD288" i="51"/>
  <c r="AB288" i="51"/>
  <c r="U288" i="51"/>
  <c r="V288" i="51" s="1"/>
  <c r="V287" i="51" s="1"/>
  <c r="I288" i="51"/>
  <c r="H288" i="51"/>
  <c r="AI287" i="51"/>
  <c r="AG287" i="51"/>
  <c r="AF287" i="51"/>
  <c r="AF286" i="51" s="1"/>
  <c r="AC287" i="51"/>
  <c r="AA287" i="51"/>
  <c r="Z287" i="51"/>
  <c r="Y287" i="51"/>
  <c r="Y286" i="51" s="1"/>
  <c r="I287" i="51"/>
  <c r="I286" i="51" s="1"/>
  <c r="Z286" i="51"/>
  <c r="V286" i="51"/>
  <c r="AJ285" i="51"/>
  <c r="AH285" i="51"/>
  <c r="AE285" i="51"/>
  <c r="AE284" i="51" s="1"/>
  <c r="AD285" i="51"/>
  <c r="AB285" i="51"/>
  <c r="U285" i="51"/>
  <c r="V285" i="51" s="1"/>
  <c r="V284" i="51" s="1"/>
  <c r="I285" i="51"/>
  <c r="I284" i="51" s="1"/>
  <c r="H285" i="51"/>
  <c r="H284" i="51" s="1"/>
  <c r="AI284" i="51"/>
  <c r="AH284" i="51"/>
  <c r="AG284" i="51"/>
  <c r="AF284" i="51"/>
  <c r="AC284" i="51"/>
  <c r="AA284" i="51"/>
  <c r="AB284" i="51" s="1"/>
  <c r="Z284" i="51"/>
  <c r="Y284" i="51"/>
  <c r="AD284" i="51" s="1"/>
  <c r="AJ283" i="51"/>
  <c r="AK283" i="51" s="1"/>
  <c r="AH283" i="51"/>
  <c r="AE283" i="51"/>
  <c r="AE282" i="51" s="1"/>
  <c r="AD283" i="51"/>
  <c r="AB283" i="51"/>
  <c r="U283" i="51"/>
  <c r="V283" i="51" s="1"/>
  <c r="V282" i="51" s="1"/>
  <c r="I283" i="51"/>
  <c r="I282" i="51" s="1"/>
  <c r="H283" i="51"/>
  <c r="AJ282" i="51"/>
  <c r="AK282" i="51" s="1"/>
  <c r="AI282" i="51"/>
  <c r="AG282" i="51"/>
  <c r="AF282" i="51"/>
  <c r="AH282" i="51" s="1"/>
  <c r="AC282" i="51"/>
  <c r="AD282" i="51" s="1"/>
  <c r="AB282" i="51"/>
  <c r="AA282" i="51"/>
  <c r="Z282" i="51"/>
  <c r="Y282" i="51"/>
  <c r="H282" i="51"/>
  <c r="AJ281" i="51"/>
  <c r="AI281" i="51"/>
  <c r="AH281" i="51"/>
  <c r="AE281" i="51"/>
  <c r="AD281" i="51"/>
  <c r="AB281" i="51"/>
  <c r="V281" i="51"/>
  <c r="U281" i="51"/>
  <c r="I281" i="51"/>
  <c r="I279" i="51" s="1"/>
  <c r="H281" i="51"/>
  <c r="H279" i="51" s="1"/>
  <c r="AI280" i="51"/>
  <c r="AG280" i="51"/>
  <c r="AH280" i="51" s="1"/>
  <c r="AF280" i="51"/>
  <c r="AF279" i="51" s="1"/>
  <c r="AE280" i="51"/>
  <c r="AE279" i="51" s="1"/>
  <c r="AE278" i="51" s="1"/>
  <c r="AD280" i="51"/>
  <c r="AB280" i="51"/>
  <c r="Z280" i="51"/>
  <c r="AJ280" i="51" s="1"/>
  <c r="V280" i="51"/>
  <c r="V279" i="51" s="1"/>
  <c r="V278" i="51" s="1"/>
  <c r="U280" i="51"/>
  <c r="I280" i="51"/>
  <c r="H280" i="51"/>
  <c r="AG279" i="51"/>
  <c r="AC279" i="51"/>
  <c r="AC278" i="51" s="1"/>
  <c r="AA279" i="51"/>
  <c r="Z279" i="51"/>
  <c r="Y279" i="51"/>
  <c r="Y278" i="51" s="1"/>
  <c r="AJ277" i="51"/>
  <c r="AK277" i="51" s="1"/>
  <c r="AH277" i="51"/>
  <c r="AE277" i="51"/>
  <c r="AD277" i="51"/>
  <c r="AB277" i="51"/>
  <c r="V277" i="51"/>
  <c r="U277" i="51"/>
  <c r="I277" i="51"/>
  <c r="H277" i="51"/>
  <c r="AJ276" i="51"/>
  <c r="AI276" i="51"/>
  <c r="AK276" i="51" s="1"/>
  <c r="AH276" i="51"/>
  <c r="AE276" i="51"/>
  <c r="AD276" i="51"/>
  <c r="AB276" i="51"/>
  <c r="U276" i="51"/>
  <c r="V276" i="51" s="1"/>
  <c r="I276" i="51"/>
  <c r="H276" i="51"/>
  <c r="AJ275" i="51"/>
  <c r="AI275" i="51"/>
  <c r="AH275" i="51"/>
  <c r="AE275" i="51"/>
  <c r="AD275" i="51"/>
  <c r="AB275" i="51"/>
  <c r="V275" i="51"/>
  <c r="U275" i="51"/>
  <c r="I275" i="51"/>
  <c r="H275" i="51"/>
  <c r="AJ274" i="51"/>
  <c r="AK274" i="51" s="1"/>
  <c r="AI274" i="51"/>
  <c r="AH274" i="51"/>
  <c r="AE274" i="51"/>
  <c r="AD274" i="51"/>
  <c r="AB274" i="51"/>
  <c r="U274" i="51"/>
  <c r="V274" i="51" s="1"/>
  <c r="I274" i="51"/>
  <c r="H274" i="51"/>
  <c r="AJ273" i="51"/>
  <c r="AI273" i="51"/>
  <c r="AH273" i="51"/>
  <c r="AE273" i="51"/>
  <c r="AD273" i="51"/>
  <c r="AB273" i="51"/>
  <c r="U273" i="51"/>
  <c r="V273" i="51" s="1"/>
  <c r="I273" i="51"/>
  <c r="H273" i="51"/>
  <c r="AJ272" i="51"/>
  <c r="AI272" i="51"/>
  <c r="AH272" i="51"/>
  <c r="AE272" i="51"/>
  <c r="AD272" i="51"/>
  <c r="AB272" i="51"/>
  <c r="U272" i="51"/>
  <c r="V272" i="51" s="1"/>
  <c r="I272" i="51"/>
  <c r="H272" i="51"/>
  <c r="H271" i="51" s="1"/>
  <c r="H270" i="51" s="1"/>
  <c r="AG271" i="51"/>
  <c r="AH271" i="51" s="1"/>
  <c r="AF271" i="51"/>
  <c r="AF270" i="51" s="1"/>
  <c r="AC271" i="51"/>
  <c r="AD271" i="51" s="1"/>
  <c r="AA271" i="51"/>
  <c r="AB271" i="51" s="1"/>
  <c r="Z271" i="51"/>
  <c r="Z270" i="51" s="1"/>
  <c r="Y271" i="51"/>
  <c r="AG270" i="51"/>
  <c r="AA270" i="51"/>
  <c r="AB270" i="51" s="1"/>
  <c r="Y270" i="51"/>
  <c r="AJ269" i="51"/>
  <c r="AK269" i="51" s="1"/>
  <c r="AH269" i="51"/>
  <c r="AE269" i="51"/>
  <c r="AE268" i="51" s="1"/>
  <c r="AD269" i="51"/>
  <c r="AB269" i="51"/>
  <c r="U269" i="51"/>
  <c r="V269" i="51" s="1"/>
  <c r="V268" i="51" s="1"/>
  <c r="I269" i="51"/>
  <c r="H269" i="51"/>
  <c r="AJ268" i="51"/>
  <c r="AI268" i="51"/>
  <c r="AG268" i="51"/>
  <c r="AF268" i="51"/>
  <c r="AH268" i="51" s="1"/>
  <c r="AC268" i="51"/>
  <c r="AA268" i="51"/>
  <c r="Z268" i="51"/>
  <c r="Y268" i="51"/>
  <c r="Y260" i="51" s="1"/>
  <c r="AJ267" i="51"/>
  <c r="AK267" i="51" s="1"/>
  <c r="AH267" i="51"/>
  <c r="AE267" i="51"/>
  <c r="AE266" i="51" s="1"/>
  <c r="AD267" i="51"/>
  <c r="AB267" i="51"/>
  <c r="U267" i="51"/>
  <c r="V267" i="51" s="1"/>
  <c r="V266" i="51" s="1"/>
  <c r="I267" i="51"/>
  <c r="I266" i="51" s="1"/>
  <c r="H267" i="51"/>
  <c r="AJ266" i="51"/>
  <c r="AK266" i="51" s="1"/>
  <c r="AI266" i="51"/>
  <c r="AG266" i="51"/>
  <c r="AF266" i="51"/>
  <c r="AC266" i="51"/>
  <c r="AD266" i="51" s="1"/>
  <c r="AB266" i="51"/>
  <c r="AA266" i="51"/>
  <c r="Z266" i="51"/>
  <c r="Y266" i="51"/>
  <c r="AJ265" i="51"/>
  <c r="AI265" i="51"/>
  <c r="AH265" i="51"/>
  <c r="AE265" i="51"/>
  <c r="AD265" i="51"/>
  <c r="AB265" i="51"/>
  <c r="U265" i="51"/>
  <c r="V265" i="51" s="1"/>
  <c r="I265" i="51"/>
  <c r="H265" i="51"/>
  <c r="AJ264" i="51"/>
  <c r="AI264" i="51"/>
  <c r="AI261" i="51" s="1"/>
  <c r="AH264" i="51"/>
  <c r="AE264" i="51"/>
  <c r="AD264" i="51"/>
  <c r="AB264" i="51"/>
  <c r="U264" i="51"/>
  <c r="V264" i="51" s="1"/>
  <c r="I264" i="51"/>
  <c r="H264" i="51"/>
  <c r="AK263" i="51"/>
  <c r="AJ263" i="51"/>
  <c r="AI263" i="51"/>
  <c r="AH263" i="51"/>
  <c r="AE263" i="51"/>
  <c r="AD263" i="51"/>
  <c r="AB263" i="51"/>
  <c r="U263" i="51"/>
  <c r="V263" i="51" s="1"/>
  <c r="I263" i="51"/>
  <c r="H263" i="51"/>
  <c r="H261" i="51" s="1"/>
  <c r="H260" i="51" s="1"/>
  <c r="AJ262" i="51"/>
  <c r="AI262" i="51"/>
  <c r="AH262" i="51"/>
  <c r="AE262" i="51"/>
  <c r="AD262" i="51"/>
  <c r="AB262" i="51"/>
  <c r="V262" i="51"/>
  <c r="V261" i="51" s="1"/>
  <c r="U262" i="51"/>
  <c r="I262" i="51"/>
  <c r="I261" i="51" s="1"/>
  <c r="H262" i="51"/>
  <c r="AG261" i="51"/>
  <c r="AH261" i="51" s="1"/>
  <c r="AF261" i="51"/>
  <c r="AC261" i="51"/>
  <c r="AD261" i="51" s="1"/>
  <c r="AA261" i="51"/>
  <c r="AB261" i="51" s="1"/>
  <c r="Z261" i="51"/>
  <c r="Y261" i="51"/>
  <c r="AG260" i="51"/>
  <c r="AK259" i="51"/>
  <c r="AJ259" i="51"/>
  <c r="AH259" i="51"/>
  <c r="AE259" i="51"/>
  <c r="AD259" i="51"/>
  <c r="AB259" i="51"/>
  <c r="U259" i="51"/>
  <c r="V259" i="51" s="1"/>
  <c r="I259" i="51"/>
  <c r="I257" i="51" s="1"/>
  <c r="H259" i="51"/>
  <c r="H257" i="51" s="1"/>
  <c r="AK258" i="51"/>
  <c r="AJ258" i="51"/>
  <c r="AH258" i="51"/>
  <c r="AE258" i="51"/>
  <c r="AD258" i="51"/>
  <c r="AB258" i="51"/>
  <c r="V258" i="51"/>
  <c r="V257" i="51" s="1"/>
  <c r="U258" i="51"/>
  <c r="I258" i="51"/>
  <c r="H258" i="51"/>
  <c r="AJ257" i="51"/>
  <c r="AI257" i="51"/>
  <c r="AK257" i="51" s="1"/>
  <c r="AG257" i="51"/>
  <c r="AF257" i="51"/>
  <c r="AE257" i="51"/>
  <c r="AC257" i="51"/>
  <c r="AA257" i="51"/>
  <c r="Z257" i="51"/>
  <c r="Y257" i="51"/>
  <c r="Y250" i="51" s="1"/>
  <c r="AJ256" i="51"/>
  <c r="AK256" i="51" s="1"/>
  <c r="AH256" i="51"/>
  <c r="AE256" i="51"/>
  <c r="AD256" i="51"/>
  <c r="AB256" i="51"/>
  <c r="U256" i="51"/>
  <c r="V256" i="51" s="1"/>
  <c r="I256" i="51"/>
  <c r="I251" i="51" s="1"/>
  <c r="I250" i="51" s="1"/>
  <c r="H256" i="51"/>
  <c r="AK255" i="51"/>
  <c r="AJ255" i="51"/>
  <c r="AI255" i="51"/>
  <c r="AH255" i="51"/>
  <c r="AE255" i="51"/>
  <c r="AD255" i="51"/>
  <c r="AB255" i="51"/>
  <c r="U255" i="51"/>
  <c r="V255" i="51" s="1"/>
  <c r="H255" i="51"/>
  <c r="AJ254" i="51"/>
  <c r="AI254" i="51"/>
  <c r="AK254" i="51" s="1"/>
  <c r="AH254" i="51"/>
  <c r="AE254" i="51"/>
  <c r="AD254" i="51"/>
  <c r="AB254" i="51"/>
  <c r="U254" i="51"/>
  <c r="V254" i="51" s="1"/>
  <c r="H254" i="51"/>
  <c r="AJ253" i="51"/>
  <c r="AK253" i="51" s="1"/>
  <c r="AI253" i="51"/>
  <c r="AH253" i="51"/>
  <c r="AE253" i="51"/>
  <c r="AE251" i="51" s="1"/>
  <c r="AD253" i="51"/>
  <c r="AB253" i="51"/>
  <c r="U253" i="51"/>
  <c r="V253" i="51" s="1"/>
  <c r="I253" i="51"/>
  <c r="H253" i="51"/>
  <c r="AJ252" i="51"/>
  <c r="AI252" i="51"/>
  <c r="AH252" i="51"/>
  <c r="AE252" i="51"/>
  <c r="AD252" i="51"/>
  <c r="AB252" i="51"/>
  <c r="U252" i="51"/>
  <c r="V252" i="51" s="1"/>
  <c r="V251" i="51" s="1"/>
  <c r="I252" i="51"/>
  <c r="H252" i="51"/>
  <c r="AI251" i="51"/>
  <c r="AI250" i="51" s="1"/>
  <c r="AG251" i="51"/>
  <c r="AF251" i="51"/>
  <c r="AF250" i="51" s="1"/>
  <c r="AC251" i="51"/>
  <c r="AA251" i="51"/>
  <c r="AB251" i="51" s="1"/>
  <c r="Z251" i="51"/>
  <c r="Z250" i="51" s="1"/>
  <c r="Y251" i="51"/>
  <c r="AG250" i="51"/>
  <c r="AH250" i="51" s="1"/>
  <c r="AJ249" i="51"/>
  <c r="AK249" i="51" s="1"/>
  <c r="AH249" i="51"/>
  <c r="AE249" i="51"/>
  <c r="AE246" i="51" s="1"/>
  <c r="AE245" i="51" s="1"/>
  <c r="AD249" i="51"/>
  <c r="AB249" i="51"/>
  <c r="U249" i="51"/>
  <c r="V249" i="51" s="1"/>
  <c r="I249" i="51"/>
  <c r="H249" i="51"/>
  <c r="AK248" i="51"/>
  <c r="AJ248" i="51"/>
  <c r="AI248" i="51"/>
  <c r="AH248" i="51"/>
  <c r="AE248" i="51"/>
  <c r="AD248" i="51"/>
  <c r="AB248" i="51"/>
  <c r="U248" i="51"/>
  <c r="V248" i="51" s="1"/>
  <c r="I248" i="51"/>
  <c r="H248" i="51"/>
  <c r="H246" i="51" s="1"/>
  <c r="H245" i="51" s="1"/>
  <c r="AJ247" i="51"/>
  <c r="AI247" i="51"/>
  <c r="AI246" i="51" s="1"/>
  <c r="AI245" i="51" s="1"/>
  <c r="AH247" i="51"/>
  <c r="AE247" i="51"/>
  <c r="AD247" i="51"/>
  <c r="AB247" i="51"/>
  <c r="V247" i="51"/>
  <c r="V246" i="51" s="1"/>
  <c r="V245" i="51" s="1"/>
  <c r="U247" i="51"/>
  <c r="I247" i="51"/>
  <c r="I246" i="51" s="1"/>
  <c r="I245" i="51" s="1"/>
  <c r="H247" i="51"/>
  <c r="AG246" i="51"/>
  <c r="AH246" i="51" s="1"/>
  <c r="AF246" i="51"/>
  <c r="AC246" i="51"/>
  <c r="AC245" i="51" s="1"/>
  <c r="AA246" i="51"/>
  <c r="Z246" i="51"/>
  <c r="Y246" i="51"/>
  <c r="Y245" i="51" s="1"/>
  <c r="AF245" i="51"/>
  <c r="AA245" i="51"/>
  <c r="Z245" i="51"/>
  <c r="AK244" i="51"/>
  <c r="AJ244" i="51"/>
  <c r="AI244" i="51"/>
  <c r="AH244" i="51"/>
  <c r="AE244" i="51"/>
  <c r="AD244" i="51"/>
  <c r="AB244" i="51"/>
  <c r="U244" i="51"/>
  <c r="V244" i="51" s="1"/>
  <c r="I244" i="51"/>
  <c r="H244" i="51"/>
  <c r="AJ243" i="51"/>
  <c r="AK243" i="51" s="1"/>
  <c r="AI243" i="51"/>
  <c r="AH243" i="51"/>
  <c r="AE243" i="51"/>
  <c r="AD243" i="51"/>
  <c r="AB243" i="51"/>
  <c r="V243" i="51"/>
  <c r="U243" i="51"/>
  <c r="I243" i="51"/>
  <c r="H243" i="51"/>
  <c r="AJ242" i="51"/>
  <c r="AK242" i="51" s="1"/>
  <c r="AI242" i="51"/>
  <c r="AH242" i="51"/>
  <c r="AE242" i="51"/>
  <c r="AD242" i="51"/>
  <c r="AB242" i="51"/>
  <c r="U242" i="51"/>
  <c r="V242" i="51" s="1"/>
  <c r="I242" i="51"/>
  <c r="H242" i="51"/>
  <c r="H240" i="51" s="1"/>
  <c r="H239" i="51" s="1"/>
  <c r="AJ241" i="51"/>
  <c r="AI241" i="51"/>
  <c r="AH241" i="51"/>
  <c r="AE241" i="51"/>
  <c r="AE240" i="51" s="1"/>
  <c r="AE239" i="51" s="1"/>
  <c r="AD241" i="51"/>
  <c r="AB241" i="51"/>
  <c r="U241" i="51"/>
  <c r="V241" i="51" s="1"/>
  <c r="I241" i="51"/>
  <c r="H241" i="51"/>
  <c r="AI240" i="51"/>
  <c r="AI239" i="51" s="1"/>
  <c r="AG240" i="51"/>
  <c r="AF240" i="51"/>
  <c r="AF239" i="51" s="1"/>
  <c r="AC240" i="51"/>
  <c r="AA240" i="51"/>
  <c r="Z240" i="51"/>
  <c r="Z239" i="51" s="1"/>
  <c r="Y240" i="51"/>
  <c r="Y239" i="51" s="1"/>
  <c r="U240" i="51"/>
  <c r="AJ238" i="51"/>
  <c r="AH238" i="51"/>
  <c r="AE238" i="51"/>
  <c r="AD238" i="51"/>
  <c r="AB238" i="51"/>
  <c r="U238" i="51"/>
  <c r="V238" i="51" s="1"/>
  <c r="H238" i="51"/>
  <c r="AK237" i="51"/>
  <c r="AJ237" i="51"/>
  <c r="AH237" i="51"/>
  <c r="AE237" i="51"/>
  <c r="AD237" i="51"/>
  <c r="AB237" i="51"/>
  <c r="V237" i="51"/>
  <c r="U237" i="51"/>
  <c r="I237" i="51"/>
  <c r="H237" i="51"/>
  <c r="AJ236" i="51"/>
  <c r="AK236" i="51" s="1"/>
  <c r="AH236" i="51"/>
  <c r="AE236" i="51"/>
  <c r="AD236" i="51"/>
  <c r="AB236" i="51"/>
  <c r="V236" i="51"/>
  <c r="U236" i="51"/>
  <c r="I236" i="51"/>
  <c r="H236" i="51"/>
  <c r="H234" i="51" s="1"/>
  <c r="H229" i="51" s="1"/>
  <c r="AJ235" i="51"/>
  <c r="AK235" i="51" s="1"/>
  <c r="AH235" i="51"/>
  <c r="AE235" i="51"/>
  <c r="AD235" i="51"/>
  <c r="AB235" i="51"/>
  <c r="U235" i="51"/>
  <c r="V235" i="51" s="1"/>
  <c r="I235" i="51"/>
  <c r="H235" i="51"/>
  <c r="AI234" i="51"/>
  <c r="AG234" i="51"/>
  <c r="AF234" i="51"/>
  <c r="AC234" i="51"/>
  <c r="AA234" i="51"/>
  <c r="AA229" i="51" s="1"/>
  <c r="Z234" i="51"/>
  <c r="Y234" i="51"/>
  <c r="AJ233" i="51"/>
  <c r="AI233" i="51"/>
  <c r="AH233" i="51"/>
  <c r="AE233" i="51"/>
  <c r="AD233" i="51"/>
  <c r="AB233" i="51"/>
  <c r="U233" i="51"/>
  <c r="V233" i="51" s="1"/>
  <c r="H233" i="51"/>
  <c r="AJ232" i="51"/>
  <c r="AI232" i="51"/>
  <c r="AH232" i="51"/>
  <c r="AE232" i="51"/>
  <c r="AD232" i="51"/>
  <c r="AB232" i="51"/>
  <c r="U232" i="51"/>
  <c r="V232" i="51" s="1"/>
  <c r="I232" i="51"/>
  <c r="H232" i="51"/>
  <c r="AJ231" i="51"/>
  <c r="AJ230" i="51" s="1"/>
  <c r="AI231" i="51"/>
  <c r="AH231" i="51"/>
  <c r="AE231" i="51"/>
  <c r="AD231" i="51"/>
  <c r="AB231" i="51"/>
  <c r="U231" i="51"/>
  <c r="V231" i="51" s="1"/>
  <c r="V230" i="51" s="1"/>
  <c r="I231" i="51"/>
  <c r="H231" i="51"/>
  <c r="AG230" i="51"/>
  <c r="AF230" i="51"/>
  <c r="AF229" i="51" s="1"/>
  <c r="AE230" i="51"/>
  <c r="AC230" i="51"/>
  <c r="AB230" i="51"/>
  <c r="AA230" i="51"/>
  <c r="Z230" i="51"/>
  <c r="Y230" i="51"/>
  <c r="I230" i="51"/>
  <c r="Z229" i="51"/>
  <c r="AJ228" i="51"/>
  <c r="AK228" i="51" s="1"/>
  <c r="AH228" i="51"/>
  <c r="AE228" i="51"/>
  <c r="AE227" i="51" s="1"/>
  <c r="AD228" i="51"/>
  <c r="AB228" i="51"/>
  <c r="U228" i="51"/>
  <c r="V228" i="51" s="1"/>
  <c r="V227" i="51" s="1"/>
  <c r="I228" i="51"/>
  <c r="H228" i="51"/>
  <c r="AJ227" i="51"/>
  <c r="AI227" i="51"/>
  <c r="AG227" i="51"/>
  <c r="AG218" i="51" s="1"/>
  <c r="AF227" i="51"/>
  <c r="AC227" i="51"/>
  <c r="AD227" i="51" s="1"/>
  <c r="AB227" i="51"/>
  <c r="AA227" i="51"/>
  <c r="Z227" i="51"/>
  <c r="Y227" i="51"/>
  <c r="I227" i="51"/>
  <c r="H227" i="51"/>
  <c r="AJ226" i="51"/>
  <c r="AK226" i="51" s="1"/>
  <c r="AH226" i="51"/>
  <c r="AE226" i="51"/>
  <c r="AD226" i="51"/>
  <c r="AB226" i="51"/>
  <c r="U226" i="51"/>
  <c r="V226" i="51" s="1"/>
  <c r="I226" i="51"/>
  <c r="H226" i="51"/>
  <c r="AK225" i="51"/>
  <c r="AJ225" i="51"/>
  <c r="AH225" i="51"/>
  <c r="AE225" i="51"/>
  <c r="AD225" i="51"/>
  <c r="AB225" i="51"/>
  <c r="U225" i="51"/>
  <c r="V225" i="51" s="1"/>
  <c r="I225" i="51"/>
  <c r="H225" i="51"/>
  <c r="AJ224" i="51"/>
  <c r="AK224" i="51" s="1"/>
  <c r="AH224" i="51"/>
  <c r="AE224" i="51"/>
  <c r="AD224" i="51"/>
  <c r="AB224" i="51"/>
  <c r="U224" i="51"/>
  <c r="V224" i="51" s="1"/>
  <c r="I224" i="51"/>
  <c r="I219" i="51" s="1"/>
  <c r="H224" i="51"/>
  <c r="AK223" i="51"/>
  <c r="AJ223" i="51"/>
  <c r="AH223" i="51"/>
  <c r="AE223" i="51"/>
  <c r="AD223" i="51"/>
  <c r="AB223" i="51"/>
  <c r="U223" i="51"/>
  <c r="V223" i="51" s="1"/>
  <c r="H223" i="51"/>
  <c r="AK222" i="51"/>
  <c r="AJ222" i="51"/>
  <c r="AH222" i="51"/>
  <c r="AE222" i="51"/>
  <c r="AD222" i="51"/>
  <c r="AB222" i="51"/>
  <c r="V222" i="51"/>
  <c r="U222" i="51"/>
  <c r="H222" i="51"/>
  <c r="AJ221" i="51"/>
  <c r="AK221" i="51" s="1"/>
  <c r="AH221" i="51"/>
  <c r="AE221" i="51"/>
  <c r="AD221" i="51"/>
  <c r="AB221" i="51"/>
  <c r="V221" i="51"/>
  <c r="U221" i="51"/>
  <c r="H221" i="51"/>
  <c r="AJ220" i="51"/>
  <c r="AK220" i="51" s="1"/>
  <c r="AH220" i="51"/>
  <c r="AE220" i="51"/>
  <c r="AD220" i="51"/>
  <c r="AB220" i="51"/>
  <c r="U220" i="51"/>
  <c r="V220" i="51" s="1"/>
  <c r="I220" i="51"/>
  <c r="H220" i="51"/>
  <c r="AI219" i="51"/>
  <c r="AI218" i="51" s="1"/>
  <c r="AG219" i="51"/>
  <c r="AH219" i="51" s="1"/>
  <c r="AF219" i="51"/>
  <c r="AC219" i="51"/>
  <c r="AA219" i="51"/>
  <c r="Z219" i="51"/>
  <c r="Z218" i="51" s="1"/>
  <c r="Y219" i="51"/>
  <c r="Y218" i="51" s="1"/>
  <c r="AA218" i="51"/>
  <c r="AJ217" i="51"/>
  <c r="AK217" i="51" s="1"/>
  <c r="AH217" i="51"/>
  <c r="AE217" i="51"/>
  <c r="AD217" i="51"/>
  <c r="AB217" i="51"/>
  <c r="V217" i="51"/>
  <c r="U217" i="51"/>
  <c r="I217" i="51"/>
  <c r="H217" i="51"/>
  <c r="AJ216" i="51"/>
  <c r="AK216" i="51" s="1"/>
  <c r="AH216" i="51"/>
  <c r="AE216" i="51"/>
  <c r="AD216" i="51"/>
  <c r="AB216" i="51"/>
  <c r="U216" i="51"/>
  <c r="V216" i="51" s="1"/>
  <c r="I216" i="51"/>
  <c r="H216" i="51"/>
  <c r="AJ215" i="51"/>
  <c r="AK215" i="51" s="1"/>
  <c r="AH215" i="51"/>
  <c r="AE215" i="51"/>
  <c r="AD215" i="51"/>
  <c r="AB215" i="51"/>
  <c r="U215" i="51"/>
  <c r="V215" i="51" s="1"/>
  <c r="I215" i="51"/>
  <c r="H215" i="51"/>
  <c r="AK214" i="51"/>
  <c r="AJ214" i="51"/>
  <c r="AH214" i="51"/>
  <c r="AE214" i="51"/>
  <c r="AD214" i="51"/>
  <c r="AB214" i="51"/>
  <c r="U214" i="51"/>
  <c r="V214" i="51" s="1"/>
  <c r="I214" i="51"/>
  <c r="I213" i="51" s="1"/>
  <c r="I212" i="51" s="1"/>
  <c r="H214" i="51"/>
  <c r="AI213" i="51"/>
  <c r="AG213" i="51"/>
  <c r="AF213" i="51"/>
  <c r="AH213" i="51" s="1"/>
  <c r="AE213" i="51"/>
  <c r="AE212" i="51" s="1"/>
  <c r="AC213" i="51"/>
  <c r="AC212" i="51" s="1"/>
  <c r="AD212" i="51" s="1"/>
  <c r="AA213" i="51"/>
  <c r="Z213" i="51"/>
  <c r="Y213" i="51"/>
  <c r="AI212" i="51"/>
  <c r="AG212" i="51"/>
  <c r="AH212" i="51" s="1"/>
  <c r="AF212" i="51"/>
  <c r="Z212" i="51"/>
  <c r="Y212" i="51"/>
  <c r="AJ210" i="51"/>
  <c r="AK210" i="51" s="1"/>
  <c r="AH210" i="51"/>
  <c r="AD210" i="51"/>
  <c r="AB210" i="51"/>
  <c r="U210" i="51"/>
  <c r="V210" i="51" s="1"/>
  <c r="V209" i="51" s="1"/>
  <c r="V208" i="51" s="1"/>
  <c r="H210" i="51"/>
  <c r="AJ209" i="51"/>
  <c r="AI209" i="51"/>
  <c r="AI208" i="51" s="1"/>
  <c r="AG209" i="51"/>
  <c r="AH209" i="51" s="1"/>
  <c r="AF209" i="51"/>
  <c r="AF208" i="51" s="1"/>
  <c r="AE209" i="51"/>
  <c r="AE208" i="51" s="1"/>
  <c r="AD209" i="51"/>
  <c r="AC209" i="51"/>
  <c r="AA209" i="51"/>
  <c r="Z209" i="51"/>
  <c r="Z208" i="51" s="1"/>
  <c r="Y209" i="51"/>
  <c r="I209" i="51"/>
  <c r="I208" i="51" s="1"/>
  <c r="AG208" i="51"/>
  <c r="AH208" i="51" s="1"/>
  <c r="AC208" i="51"/>
  <c r="Y208" i="51"/>
  <c r="AD208" i="51" s="1"/>
  <c r="H208" i="51"/>
  <c r="AK207" i="51"/>
  <c r="AJ207" i="51"/>
  <c r="AH207" i="51"/>
  <c r="AE207" i="51"/>
  <c r="AD207" i="51"/>
  <c r="AB207" i="51"/>
  <c r="U207" i="51"/>
  <c r="V207" i="51" s="1"/>
  <c r="I207" i="51"/>
  <c r="H207" i="51"/>
  <c r="H203" i="51" s="1"/>
  <c r="H202" i="51" s="1"/>
  <c r="AJ206" i="51"/>
  <c r="AH206" i="51"/>
  <c r="AE206" i="51"/>
  <c r="AD206" i="51"/>
  <c r="AB206" i="51"/>
  <c r="V206" i="51"/>
  <c r="U206" i="51"/>
  <c r="I206" i="51"/>
  <c r="H206" i="51"/>
  <c r="AJ205" i="51"/>
  <c r="AK205" i="51" s="1"/>
  <c r="AH205" i="51"/>
  <c r="AD205" i="51"/>
  <c r="AB205" i="51"/>
  <c r="U205" i="51"/>
  <c r="V205" i="51" s="1"/>
  <c r="H205" i="51"/>
  <c r="AJ204" i="51"/>
  <c r="AK204" i="51" s="1"/>
  <c r="AH204" i="51"/>
  <c r="AD204" i="51"/>
  <c r="AB204" i="51"/>
  <c r="U204" i="51"/>
  <c r="V204" i="51" s="1"/>
  <c r="H204" i="51"/>
  <c r="AI203" i="51"/>
  <c r="AG203" i="51"/>
  <c r="AF203" i="51"/>
  <c r="AF202" i="51" s="1"/>
  <c r="AC203" i="51"/>
  <c r="AC202" i="51" s="1"/>
  <c r="AD202" i="51" s="1"/>
  <c r="AA203" i="51"/>
  <c r="Z203" i="51"/>
  <c r="Z202" i="51" s="1"/>
  <c r="Y203" i="51"/>
  <c r="AI202" i="51"/>
  <c r="AH202" i="51"/>
  <c r="AG202" i="51"/>
  <c r="Y202" i="51"/>
  <c r="AK201" i="51"/>
  <c r="AJ201" i="51"/>
  <c r="AH201" i="51"/>
  <c r="AE201" i="51"/>
  <c r="AE200" i="51" s="1"/>
  <c r="AD201" i="51"/>
  <c r="AB201" i="51"/>
  <c r="U201" i="51"/>
  <c r="V201" i="51" s="1"/>
  <c r="I201" i="51"/>
  <c r="H201" i="51"/>
  <c r="AJ200" i="51"/>
  <c r="AI200" i="51"/>
  <c r="AG200" i="51"/>
  <c r="AF200" i="51"/>
  <c r="AC200" i="51"/>
  <c r="AA200" i="51"/>
  <c r="AB200" i="51" s="1"/>
  <c r="Z200" i="51"/>
  <c r="Y200" i="51"/>
  <c r="V200" i="51"/>
  <c r="I200" i="51"/>
  <c r="AJ199" i="51"/>
  <c r="AK199" i="51" s="1"/>
  <c r="AH199" i="51"/>
  <c r="AE199" i="51"/>
  <c r="AD199" i="51"/>
  <c r="AB199" i="51"/>
  <c r="U199" i="51"/>
  <c r="V199" i="51" s="1"/>
  <c r="I199" i="51"/>
  <c r="H199" i="51"/>
  <c r="AK198" i="51"/>
  <c r="AJ198" i="51"/>
  <c r="AH198" i="51"/>
  <c r="AE198" i="51"/>
  <c r="AD198" i="51"/>
  <c r="AB198" i="51"/>
  <c r="U198" i="51"/>
  <c r="V198" i="51" s="1"/>
  <c r="I198" i="51"/>
  <c r="H198" i="51"/>
  <c r="AJ197" i="51"/>
  <c r="AK197" i="51" s="1"/>
  <c r="AH197" i="51"/>
  <c r="AE197" i="51"/>
  <c r="AD197" i="51"/>
  <c r="AB197" i="51"/>
  <c r="V197" i="51"/>
  <c r="U197" i="51"/>
  <c r="I197" i="51"/>
  <c r="H197" i="51"/>
  <c r="AJ196" i="51"/>
  <c r="AK196" i="51" s="1"/>
  <c r="AH196" i="51"/>
  <c r="AD196" i="51"/>
  <c r="AB196" i="51"/>
  <c r="U196" i="51"/>
  <c r="V196" i="51" s="1"/>
  <c r="H196" i="51"/>
  <c r="AJ195" i="51"/>
  <c r="AK195" i="51" s="1"/>
  <c r="AH195" i="51"/>
  <c r="AE195" i="51"/>
  <c r="AD195" i="51"/>
  <c r="AB195" i="51"/>
  <c r="U195" i="51"/>
  <c r="V195" i="51" s="1"/>
  <c r="I195" i="51"/>
  <c r="H195" i="51"/>
  <c r="AJ194" i="51"/>
  <c r="AK194" i="51" s="1"/>
  <c r="AH194" i="51"/>
  <c r="AE194" i="51"/>
  <c r="AD194" i="51"/>
  <c r="AB194" i="51"/>
  <c r="V194" i="51"/>
  <c r="U194" i="51"/>
  <c r="I194" i="51"/>
  <c r="H194" i="51"/>
  <c r="AJ193" i="51"/>
  <c r="AK193" i="51" s="1"/>
  <c r="AI193" i="51"/>
  <c r="AH193" i="51"/>
  <c r="AE193" i="51"/>
  <c r="AD193" i="51"/>
  <c r="AB193" i="51"/>
  <c r="U193" i="51"/>
  <c r="V193" i="51" s="1"/>
  <c r="I193" i="51"/>
  <c r="H193" i="51"/>
  <c r="AJ192" i="51"/>
  <c r="AI192" i="51"/>
  <c r="AG192" i="51"/>
  <c r="AH192" i="51" s="1"/>
  <c r="AF192" i="51"/>
  <c r="AF191" i="51" s="1"/>
  <c r="AE192" i="51"/>
  <c r="AD192" i="51"/>
  <c r="AB192" i="51"/>
  <c r="Z192" i="51"/>
  <c r="V192" i="51"/>
  <c r="U192" i="51"/>
  <c r="I192" i="51"/>
  <c r="H192" i="51"/>
  <c r="AG191" i="51"/>
  <c r="AC191" i="51"/>
  <c r="AD191" i="51" s="1"/>
  <c r="AA191" i="51"/>
  <c r="AB191" i="51" s="1"/>
  <c r="Z191" i="51"/>
  <c r="Y191" i="51"/>
  <c r="Y190" i="51"/>
  <c r="AJ189" i="51"/>
  <c r="AK189" i="51" s="1"/>
  <c r="AH189" i="51"/>
  <c r="AE189" i="51"/>
  <c r="AD189" i="51"/>
  <c r="AB189" i="51"/>
  <c r="U189" i="51"/>
  <c r="V189" i="51" s="1"/>
  <c r="I189" i="51"/>
  <c r="H189" i="51"/>
  <c r="AJ188" i="51"/>
  <c r="AK188" i="51" s="1"/>
  <c r="AH188" i="51"/>
  <c r="AE188" i="51"/>
  <c r="AD188" i="51"/>
  <c r="AB188" i="51"/>
  <c r="V188" i="51"/>
  <c r="U188" i="51"/>
  <c r="I188" i="51"/>
  <c r="H188" i="51"/>
  <c r="AJ187" i="51"/>
  <c r="AK187" i="51" s="1"/>
  <c r="AH187" i="51"/>
  <c r="AE187" i="51"/>
  <c r="AD187" i="51"/>
  <c r="AB187" i="51"/>
  <c r="U187" i="51"/>
  <c r="V187" i="51" s="1"/>
  <c r="I187" i="51"/>
  <c r="H187" i="51"/>
  <c r="AJ186" i="51"/>
  <c r="AK186" i="51" s="1"/>
  <c r="AH186" i="51"/>
  <c r="AE186" i="51"/>
  <c r="AD186" i="51"/>
  <c r="AB186" i="51"/>
  <c r="U186" i="51"/>
  <c r="V186" i="51" s="1"/>
  <c r="I186" i="51"/>
  <c r="H186" i="51"/>
  <c r="AK185" i="51"/>
  <c r="AJ185" i="51"/>
  <c r="AH185" i="51"/>
  <c r="AE185" i="51"/>
  <c r="AE183" i="51" s="1"/>
  <c r="AD185" i="51"/>
  <c r="AB185" i="51"/>
  <c r="U185" i="51"/>
  <c r="V185" i="51" s="1"/>
  <c r="I185" i="51"/>
  <c r="H185" i="51"/>
  <c r="H183" i="51" s="1"/>
  <c r="AJ184" i="51"/>
  <c r="AH184" i="51"/>
  <c r="AE184" i="51"/>
  <c r="AD184" i="51"/>
  <c r="AB184" i="51"/>
  <c r="V184" i="51"/>
  <c r="U184" i="51"/>
  <c r="I184" i="51"/>
  <c r="H184" i="51"/>
  <c r="AI183" i="51"/>
  <c r="AG183" i="51"/>
  <c r="AF183" i="51"/>
  <c r="AH183" i="51" s="1"/>
  <c r="AC183" i="51"/>
  <c r="AA183" i="51"/>
  <c r="Z183" i="51"/>
  <c r="Z167" i="51" s="1"/>
  <c r="Y183" i="51"/>
  <c r="AH182" i="51"/>
  <c r="AD182" i="51"/>
  <c r="AC182" i="51"/>
  <c r="AA182" i="51"/>
  <c r="U182" i="51"/>
  <c r="V182" i="51" s="1"/>
  <c r="I182" i="51"/>
  <c r="H182" i="51"/>
  <c r="AH181" i="51"/>
  <c r="AC181" i="51"/>
  <c r="AD181" i="51" s="1"/>
  <c r="AB181" i="51"/>
  <c r="AA181" i="51"/>
  <c r="AJ181" i="51" s="1"/>
  <c r="AK181" i="51" s="1"/>
  <c r="V181" i="51"/>
  <c r="U181" i="51"/>
  <c r="I181" i="51"/>
  <c r="H181" i="51"/>
  <c r="AJ180" i="51"/>
  <c r="AK180" i="51" s="1"/>
  <c r="AH180" i="51"/>
  <c r="AE180" i="51"/>
  <c r="AD180" i="51"/>
  <c r="AB180" i="51"/>
  <c r="U180" i="51"/>
  <c r="V180" i="51" s="1"/>
  <c r="I180" i="51"/>
  <c r="H180" i="51"/>
  <c r="H178" i="51" s="1"/>
  <c r="AK179" i="51"/>
  <c r="AJ179" i="51"/>
  <c r="AH179" i="51"/>
  <c r="AE179" i="51"/>
  <c r="AD179" i="51"/>
  <c r="AB179" i="51"/>
  <c r="U179" i="51"/>
  <c r="V179" i="51" s="1"/>
  <c r="I179" i="51"/>
  <c r="I178" i="51" s="1"/>
  <c r="H179" i="51"/>
  <c r="AI178" i="51"/>
  <c r="AG178" i="51"/>
  <c r="AH178" i="51" s="1"/>
  <c r="AF178" i="51"/>
  <c r="Z178" i="51"/>
  <c r="Y178" i="51"/>
  <c r="AK177" i="51"/>
  <c r="AJ177" i="51"/>
  <c r="AH177" i="51"/>
  <c r="AE177" i="51"/>
  <c r="AE176" i="51" s="1"/>
  <c r="AD177" i="51"/>
  <c r="AB177" i="51"/>
  <c r="V177" i="51"/>
  <c r="V176" i="51" s="1"/>
  <c r="U177" i="51"/>
  <c r="I177" i="51"/>
  <c r="I176" i="51" s="1"/>
  <c r="H177" i="51"/>
  <c r="AJ176" i="51"/>
  <c r="AK176" i="51" s="1"/>
  <c r="AI176" i="51"/>
  <c r="AG176" i="51"/>
  <c r="AF176" i="51"/>
  <c r="AF167" i="51" s="1"/>
  <c r="AC176" i="51"/>
  <c r="AA176" i="51"/>
  <c r="Z176" i="51"/>
  <c r="Y176" i="51"/>
  <c r="H176" i="51"/>
  <c r="AK175" i="51"/>
  <c r="AJ175" i="51"/>
  <c r="AH175" i="51"/>
  <c r="AE175" i="51"/>
  <c r="AD175" i="51"/>
  <c r="AB175" i="51"/>
  <c r="U175" i="51"/>
  <c r="V175" i="51" s="1"/>
  <c r="I175" i="51"/>
  <c r="H175" i="51"/>
  <c r="AJ174" i="51"/>
  <c r="AK174" i="51" s="1"/>
  <c r="AH174" i="51"/>
  <c r="AD174" i="51"/>
  <c r="AB174" i="51"/>
  <c r="U174" i="51"/>
  <c r="V174" i="51" s="1"/>
  <c r="H174" i="51"/>
  <c r="AJ173" i="51"/>
  <c r="AK173" i="51" s="1"/>
  <c r="AH173" i="51"/>
  <c r="AE173" i="51"/>
  <c r="AD173" i="51"/>
  <c r="AB173" i="51"/>
  <c r="U173" i="51"/>
  <c r="V173" i="51" s="1"/>
  <c r="I173" i="51"/>
  <c r="H173" i="51"/>
  <c r="AK172" i="51"/>
  <c r="AJ172" i="51"/>
  <c r="AH172" i="51"/>
  <c r="AE172" i="51"/>
  <c r="AD172" i="51"/>
  <c r="AB172" i="51"/>
  <c r="U172" i="51"/>
  <c r="V172" i="51" s="1"/>
  <c r="I172" i="51"/>
  <c r="H172" i="51"/>
  <c r="AJ171" i="51"/>
  <c r="AK171" i="51" s="1"/>
  <c r="AH171" i="51"/>
  <c r="AE171" i="51"/>
  <c r="AD171" i="51"/>
  <c r="AB171" i="51"/>
  <c r="U171" i="51"/>
  <c r="V171" i="51" s="1"/>
  <c r="I171" i="51"/>
  <c r="H171" i="51"/>
  <c r="AK170" i="51"/>
  <c r="AJ170" i="51"/>
  <c r="AH170" i="51"/>
  <c r="AD170" i="51"/>
  <c r="AB170" i="51"/>
  <c r="U170" i="51"/>
  <c r="V170" i="51" s="1"/>
  <c r="H170" i="51"/>
  <c r="AK169" i="51"/>
  <c r="AJ169" i="51"/>
  <c r="AH169" i="51"/>
  <c r="AE169" i="51"/>
  <c r="AE168" i="51" s="1"/>
  <c r="AD169" i="51"/>
  <c r="AB169" i="51"/>
  <c r="U169" i="51"/>
  <c r="V169" i="51" s="1"/>
  <c r="I169" i="51"/>
  <c r="H169" i="51"/>
  <c r="AI168" i="51"/>
  <c r="AG168" i="51"/>
  <c r="AH168" i="51" s="1"/>
  <c r="AF168" i="51"/>
  <c r="AD168" i="51"/>
  <c r="AC168" i="51"/>
  <c r="AA168" i="51"/>
  <c r="Z168" i="51"/>
  <c r="Y168" i="51"/>
  <c r="H168" i="51"/>
  <c r="AI167" i="51"/>
  <c r="AJ166" i="51"/>
  <c r="AK166" i="51" s="1"/>
  <c r="AH166" i="51"/>
  <c r="AE166" i="51"/>
  <c r="AE165" i="51" s="1"/>
  <c r="AD166" i="51"/>
  <c r="AB166" i="51"/>
  <c r="U166" i="51"/>
  <c r="V166" i="51" s="1"/>
  <c r="V165" i="51" s="1"/>
  <c r="I166" i="51"/>
  <c r="I165" i="51" s="1"/>
  <c r="H166" i="51"/>
  <c r="AJ165" i="51"/>
  <c r="AI165" i="51"/>
  <c r="AK165" i="51" s="1"/>
  <c r="AG165" i="51"/>
  <c r="AH165" i="51" s="1"/>
  <c r="AF165" i="51"/>
  <c r="AC165" i="51"/>
  <c r="AA165" i="51"/>
  <c r="Z165" i="51"/>
  <c r="Y165" i="51"/>
  <c r="AJ164" i="51"/>
  <c r="AK164" i="51" s="1"/>
  <c r="AH164" i="51"/>
  <c r="AD164" i="51"/>
  <c r="AB164" i="51"/>
  <c r="V164" i="51"/>
  <c r="V163" i="51" s="1"/>
  <c r="U164" i="51"/>
  <c r="H164" i="51"/>
  <c r="AI163" i="51"/>
  <c r="AG163" i="51"/>
  <c r="AF163" i="51"/>
  <c r="AE163" i="51"/>
  <c r="AC163" i="51"/>
  <c r="AD163" i="51" s="1"/>
  <c r="AA163" i="51"/>
  <c r="AB163" i="51" s="1"/>
  <c r="Z163" i="51"/>
  <c r="Y163" i="51"/>
  <c r="I163" i="51"/>
  <c r="H163" i="51"/>
  <c r="AJ162" i="51"/>
  <c r="AH162" i="51"/>
  <c r="AE162" i="51"/>
  <c r="AD162" i="51"/>
  <c r="AB162" i="51"/>
  <c r="U162" i="51"/>
  <c r="V162" i="51" s="1"/>
  <c r="V161" i="51" s="1"/>
  <c r="I162" i="51"/>
  <c r="I161" i="51" s="1"/>
  <c r="H162" i="51"/>
  <c r="H161" i="51" s="1"/>
  <c r="H157" i="51" s="1"/>
  <c r="AI161" i="51"/>
  <c r="AG161" i="51"/>
  <c r="AF161" i="51"/>
  <c r="AE161" i="51"/>
  <c r="AD161" i="51"/>
  <c r="AC161" i="51"/>
  <c r="AA161" i="51"/>
  <c r="AB161" i="51" s="1"/>
  <c r="Z161" i="51"/>
  <c r="Z157" i="51" s="1"/>
  <c r="Y161" i="51"/>
  <c r="AJ160" i="51"/>
  <c r="AH160" i="51"/>
  <c r="AD160" i="51"/>
  <c r="AB160" i="51"/>
  <c r="U160" i="51"/>
  <c r="V160" i="51" s="1"/>
  <c r="H160" i="51"/>
  <c r="AJ159" i="51"/>
  <c r="AK159" i="51" s="1"/>
  <c r="AH159" i="51"/>
  <c r="AE159" i="51"/>
  <c r="AE158" i="51" s="1"/>
  <c r="AD159" i="51"/>
  <c r="AB159" i="51"/>
  <c r="U159" i="51"/>
  <c r="V159" i="51" s="1"/>
  <c r="I159" i="51"/>
  <c r="H159" i="51"/>
  <c r="AI158" i="51"/>
  <c r="AG158" i="51"/>
  <c r="AF158" i="51"/>
  <c r="AC158" i="51"/>
  <c r="AD158" i="51" s="1"/>
  <c r="AA158" i="51"/>
  <c r="Z158" i="51"/>
  <c r="Y158" i="51"/>
  <c r="AB158" i="51" s="1"/>
  <c r="V158" i="51"/>
  <c r="I158" i="51"/>
  <c r="H158" i="51"/>
  <c r="AI157" i="51"/>
  <c r="AJ156" i="51"/>
  <c r="AH156" i="51"/>
  <c r="AE156" i="51"/>
  <c r="AD156" i="51"/>
  <c r="AB156" i="51"/>
  <c r="V156" i="51"/>
  <c r="V155" i="51" s="1"/>
  <c r="U156" i="51"/>
  <c r="I156" i="51"/>
  <c r="H156" i="51"/>
  <c r="AI155" i="51"/>
  <c r="AH155" i="51"/>
  <c r="AG155" i="51"/>
  <c r="AF155" i="51"/>
  <c r="AF150" i="51" s="1"/>
  <c r="AE155" i="51"/>
  <c r="AC155" i="51"/>
  <c r="AA155" i="51"/>
  <c r="Z155" i="51"/>
  <c r="Y155" i="51"/>
  <c r="I155" i="51"/>
  <c r="AJ154" i="51"/>
  <c r="AH154" i="51"/>
  <c r="AE154" i="51"/>
  <c r="AD154" i="51"/>
  <c r="AB154" i="51"/>
  <c r="U154" i="51"/>
  <c r="V154" i="51" s="1"/>
  <c r="V153" i="51" s="1"/>
  <c r="I154" i="51"/>
  <c r="I153" i="51" s="1"/>
  <c r="I150" i="51" s="1"/>
  <c r="H154" i="51"/>
  <c r="H153" i="51" s="1"/>
  <c r="H150" i="51" s="1"/>
  <c r="AI153" i="51"/>
  <c r="AI150" i="51" s="1"/>
  <c r="AG153" i="51"/>
  <c r="AH153" i="51" s="1"/>
  <c r="AF153" i="51"/>
  <c r="AE153" i="51"/>
  <c r="AD153" i="51"/>
  <c r="AC153" i="51"/>
  <c r="AA153" i="51"/>
  <c r="Z153" i="51"/>
  <c r="Z150" i="51" s="1"/>
  <c r="Y153" i="51"/>
  <c r="AJ152" i="51"/>
  <c r="AK152" i="51" s="1"/>
  <c r="AH152" i="51"/>
  <c r="AE152" i="51"/>
  <c r="AE151" i="51" s="1"/>
  <c r="AD152" i="51"/>
  <c r="AB152" i="51"/>
  <c r="U152" i="51"/>
  <c r="V152" i="51" s="1"/>
  <c r="V151" i="51" s="1"/>
  <c r="I152" i="51"/>
  <c r="H152" i="51"/>
  <c r="AK151" i="51"/>
  <c r="AJ151" i="51"/>
  <c r="AI151" i="51"/>
  <c r="AG151" i="51"/>
  <c r="AH151" i="51" s="1"/>
  <c r="AF151" i="51"/>
  <c r="AC151" i="51"/>
  <c r="AA151" i="51"/>
  <c r="Z151" i="51"/>
  <c r="Y151" i="51"/>
  <c r="I151" i="51"/>
  <c r="H151" i="51"/>
  <c r="AG150" i="51"/>
  <c r="AH150" i="51" s="1"/>
  <c r="AJ149" i="51"/>
  <c r="AJ148" i="51" s="1"/>
  <c r="AH149" i="51"/>
  <c r="AE149" i="51"/>
  <c r="AD149" i="51"/>
  <c r="AB149" i="51"/>
  <c r="U149" i="51"/>
  <c r="V149" i="51" s="1"/>
  <c r="V148" i="51" s="1"/>
  <c r="V147" i="51" s="1"/>
  <c r="I149" i="51"/>
  <c r="H149" i="51"/>
  <c r="AI148" i="51"/>
  <c r="AI147" i="51" s="1"/>
  <c r="AH148" i="51"/>
  <c r="AG148" i="51"/>
  <c r="AF148" i="51"/>
  <c r="AF147" i="51" s="1"/>
  <c r="AE148" i="51"/>
  <c r="AE147" i="51" s="1"/>
  <c r="AC148" i="51"/>
  <c r="AA148" i="51"/>
  <c r="Z148" i="51"/>
  <c r="Z147" i="51" s="1"/>
  <c r="Y148" i="51"/>
  <c r="I148" i="51"/>
  <c r="I147" i="51" s="1"/>
  <c r="AG147" i="51"/>
  <c r="AH147" i="51" s="1"/>
  <c r="AC147" i="51"/>
  <c r="H147" i="51"/>
  <c r="AK145" i="51"/>
  <c r="AJ145" i="51"/>
  <c r="AH145" i="51"/>
  <c r="AE145" i="51"/>
  <c r="AE144" i="51" s="1"/>
  <c r="AD145" i="51"/>
  <c r="AB145" i="51"/>
  <c r="U145" i="51"/>
  <c r="V145" i="51" s="1"/>
  <c r="V144" i="51" s="1"/>
  <c r="I145" i="51"/>
  <c r="I144" i="51" s="1"/>
  <c r="H145" i="51"/>
  <c r="H144" i="51" s="1"/>
  <c r="H140" i="51" s="1"/>
  <c r="AJ144" i="51"/>
  <c r="AI144" i="51"/>
  <c r="AI140" i="51" s="1"/>
  <c r="AG144" i="51"/>
  <c r="AH144" i="51" s="1"/>
  <c r="AF144" i="51"/>
  <c r="AC144" i="51"/>
  <c r="AA144" i="51"/>
  <c r="AB144" i="51" s="1"/>
  <c r="Z144" i="51"/>
  <c r="Y144" i="51"/>
  <c r="AJ143" i="51"/>
  <c r="AK143" i="51" s="1"/>
  <c r="AH143" i="51"/>
  <c r="AE143" i="51"/>
  <c r="AD143" i="51"/>
  <c r="AB143" i="51"/>
  <c r="V143" i="51"/>
  <c r="U143" i="51"/>
  <c r="I143" i="51"/>
  <c r="H143" i="51"/>
  <c r="AK142" i="51"/>
  <c r="AJ142" i="51"/>
  <c r="AH142" i="51"/>
  <c r="AE142" i="51"/>
  <c r="AE141" i="51" s="1"/>
  <c r="AD142" i="51"/>
  <c r="AB142" i="51"/>
  <c r="U142" i="51"/>
  <c r="V142" i="51" s="1"/>
  <c r="I142" i="51"/>
  <c r="I141" i="51" s="1"/>
  <c r="I140" i="51" s="1"/>
  <c r="H142" i="51"/>
  <c r="AI141" i="51"/>
  <c r="AG141" i="51"/>
  <c r="AF141" i="51"/>
  <c r="AF140" i="51" s="1"/>
  <c r="AC141" i="51"/>
  <c r="AD141" i="51" s="1"/>
  <c r="AA141" i="51"/>
  <c r="AA140" i="51" s="1"/>
  <c r="Z141" i="51"/>
  <c r="Z140" i="51" s="1"/>
  <c r="Y141" i="51"/>
  <c r="AJ139" i="51"/>
  <c r="AK139" i="51" s="1"/>
  <c r="AH139" i="51"/>
  <c r="AE139" i="51"/>
  <c r="AD139" i="51"/>
  <c r="AB139" i="51"/>
  <c r="U139" i="51"/>
  <c r="V139" i="51" s="1"/>
  <c r="I139" i="51"/>
  <c r="H139" i="51"/>
  <c r="AJ138" i="51"/>
  <c r="AK138" i="51" s="1"/>
  <c r="AH138" i="51"/>
  <c r="AE138" i="51"/>
  <c r="AD138" i="51"/>
  <c r="AB138" i="51"/>
  <c r="U138" i="51"/>
  <c r="V138" i="51" s="1"/>
  <c r="I138" i="51"/>
  <c r="H138" i="51"/>
  <c r="AJ137" i="51"/>
  <c r="AK137" i="51" s="1"/>
  <c r="AH137" i="51"/>
  <c r="AE137" i="51"/>
  <c r="AD137" i="51"/>
  <c r="AB137" i="51"/>
  <c r="V137" i="51"/>
  <c r="U137" i="51"/>
  <c r="I137" i="51"/>
  <c r="H137" i="51"/>
  <c r="AJ136" i="51"/>
  <c r="AK136" i="51" s="1"/>
  <c r="AH136" i="51"/>
  <c r="AE136" i="51"/>
  <c r="AD136" i="51"/>
  <c r="AB136" i="51"/>
  <c r="U136" i="51"/>
  <c r="V136" i="51" s="1"/>
  <c r="I136" i="51"/>
  <c r="H136" i="51"/>
  <c r="H135" i="51" s="1"/>
  <c r="H134" i="51" s="1"/>
  <c r="AI135" i="51"/>
  <c r="AI134" i="51" s="1"/>
  <c r="AH135" i="51"/>
  <c r="AG135" i="51"/>
  <c r="AF135" i="51"/>
  <c r="AC135" i="51"/>
  <c r="AD135" i="51" s="1"/>
  <c r="AA135" i="51"/>
  <c r="AB135" i="51" s="1"/>
  <c r="Z135" i="51"/>
  <c r="Z134" i="51" s="1"/>
  <c r="Y135" i="51"/>
  <c r="Y134" i="51" s="1"/>
  <c r="I135" i="51"/>
  <c r="I134" i="51" s="1"/>
  <c r="AG134" i="51"/>
  <c r="AH134" i="51" s="1"/>
  <c r="AF134" i="51"/>
  <c r="AC134" i="51"/>
  <c r="AD134" i="51" s="1"/>
  <c r="AJ133" i="51"/>
  <c r="AK133" i="51" s="1"/>
  <c r="AH133" i="51"/>
  <c r="AE133" i="51"/>
  <c r="AE132" i="51" s="1"/>
  <c r="AD133" i="51"/>
  <c r="AB133" i="51"/>
  <c r="U133" i="51"/>
  <c r="V133" i="51" s="1"/>
  <c r="V132" i="51" s="1"/>
  <c r="I133" i="51"/>
  <c r="H133" i="51"/>
  <c r="AJ132" i="51"/>
  <c r="AI132" i="51"/>
  <c r="AG132" i="51"/>
  <c r="AF132" i="51"/>
  <c r="AC132" i="51"/>
  <c r="AA132" i="51"/>
  <c r="Z132" i="51"/>
  <c r="Y132" i="51"/>
  <c r="U132" i="51"/>
  <c r="I132" i="51"/>
  <c r="H132" i="51"/>
  <c r="AH131" i="51"/>
  <c r="AE131" i="51"/>
  <c r="AC131" i="51"/>
  <c r="AA131" i="51"/>
  <c r="Y131" i="51"/>
  <c r="AD131" i="51" s="1"/>
  <c r="U131" i="51"/>
  <c r="V131" i="51" s="1"/>
  <c r="I131" i="51"/>
  <c r="H131" i="51"/>
  <c r="AH130" i="51"/>
  <c r="AE130" i="51"/>
  <c r="AC130" i="51"/>
  <c r="AA130" i="51"/>
  <c r="AJ130" i="51" s="1"/>
  <c r="AK130" i="51" s="1"/>
  <c r="Y130" i="51"/>
  <c r="U130" i="51"/>
  <c r="V130" i="51" s="1"/>
  <c r="I130" i="51"/>
  <c r="H130" i="51"/>
  <c r="AJ129" i="51"/>
  <c r="AK129" i="51" s="1"/>
  <c r="AH129" i="51"/>
  <c r="AE129" i="51"/>
  <c r="AD129" i="51"/>
  <c r="AB129" i="51"/>
  <c r="V129" i="51"/>
  <c r="U129" i="51"/>
  <c r="I129" i="51"/>
  <c r="H129" i="51"/>
  <c r="H125" i="51" s="1"/>
  <c r="AK128" i="51"/>
  <c r="AJ128" i="51"/>
  <c r="AH128" i="51"/>
  <c r="AE128" i="51"/>
  <c r="AD128" i="51"/>
  <c r="AB128" i="51"/>
  <c r="U128" i="51"/>
  <c r="V128" i="51" s="1"/>
  <c r="I128" i="51"/>
  <c r="H128" i="51"/>
  <c r="AF127" i="51"/>
  <c r="AH127" i="51" s="1"/>
  <c r="AC127" i="51"/>
  <c r="AA127" i="51"/>
  <c r="AJ127" i="51" s="1"/>
  <c r="AK127" i="51" s="1"/>
  <c r="Y127" i="51"/>
  <c r="V127" i="51"/>
  <c r="U127" i="51"/>
  <c r="I127" i="51"/>
  <c r="H127" i="51"/>
  <c r="AK126" i="51"/>
  <c r="AF126" i="51"/>
  <c r="AC126" i="51"/>
  <c r="AD126" i="51" s="1"/>
  <c r="AB126" i="51"/>
  <c r="AA126" i="51"/>
  <c r="AJ126" i="51" s="1"/>
  <c r="Y126" i="51"/>
  <c r="U126" i="51"/>
  <c r="V126" i="51" s="1"/>
  <c r="I126" i="51"/>
  <c r="H126" i="51"/>
  <c r="AI125" i="51"/>
  <c r="AG125" i="51"/>
  <c r="Z125" i="51"/>
  <c r="U125" i="51"/>
  <c r="AJ124" i="51"/>
  <c r="AK124" i="51" s="1"/>
  <c r="AH124" i="51"/>
  <c r="AE124" i="51"/>
  <c r="AD124" i="51"/>
  <c r="AB124" i="51"/>
  <c r="U124" i="51"/>
  <c r="V124" i="51" s="1"/>
  <c r="I124" i="51"/>
  <c r="I121" i="51" s="1"/>
  <c r="H124" i="51"/>
  <c r="AG123" i="51"/>
  <c r="AF123" i="51"/>
  <c r="AC123" i="51"/>
  <c r="AA123" i="51"/>
  <c r="AJ123" i="51" s="1"/>
  <c r="Y123" i="51"/>
  <c r="U123" i="51"/>
  <c r="V123" i="51" s="1"/>
  <c r="I123" i="51"/>
  <c r="H123" i="51"/>
  <c r="AH122" i="51"/>
  <c r="AG122" i="51"/>
  <c r="AF122" i="51"/>
  <c r="AC122" i="51"/>
  <c r="AA122" i="51"/>
  <c r="Y122" i="51"/>
  <c r="U122" i="51"/>
  <c r="V122" i="51" s="1"/>
  <c r="V121" i="51" s="1"/>
  <c r="I122" i="51"/>
  <c r="H122" i="51"/>
  <c r="AI121" i="51"/>
  <c r="AF121" i="51"/>
  <c r="Z121" i="51"/>
  <c r="Y121" i="51"/>
  <c r="U121" i="51"/>
  <c r="AK120" i="51"/>
  <c r="AJ120" i="51"/>
  <c r="AH120" i="51"/>
  <c r="AE120" i="51"/>
  <c r="AD120" i="51"/>
  <c r="AB120" i="51"/>
  <c r="U120" i="51"/>
  <c r="V120" i="51" s="1"/>
  <c r="I120" i="51"/>
  <c r="H120" i="51"/>
  <c r="AJ119" i="51"/>
  <c r="AJ118" i="51" s="1"/>
  <c r="AH119" i="51"/>
  <c r="AE119" i="51"/>
  <c r="AE118" i="51" s="1"/>
  <c r="AD119" i="51"/>
  <c r="AB119" i="51"/>
  <c r="V119" i="51"/>
  <c r="U119" i="51"/>
  <c r="I119" i="51"/>
  <c r="I118" i="51" s="1"/>
  <c r="H119" i="51"/>
  <c r="AI118" i="51"/>
  <c r="AI117" i="51" s="1"/>
  <c r="AG118" i="51"/>
  <c r="AF118" i="51"/>
  <c r="AC118" i="51"/>
  <c r="AA118" i="51"/>
  <c r="Z118" i="51"/>
  <c r="Y118" i="51"/>
  <c r="AD118" i="51" s="1"/>
  <c r="H118" i="51"/>
  <c r="Z117" i="51"/>
  <c r="AK116" i="51"/>
  <c r="AJ116" i="51"/>
  <c r="AH116" i="51"/>
  <c r="AE116" i="51"/>
  <c r="AD116" i="51"/>
  <c r="AB116" i="51"/>
  <c r="U116" i="51"/>
  <c r="V116" i="51" s="1"/>
  <c r="I116" i="51"/>
  <c r="H116" i="51"/>
  <c r="H114" i="51" s="1"/>
  <c r="AJ115" i="51"/>
  <c r="AJ114" i="51" s="1"/>
  <c r="AK114" i="51" s="1"/>
  <c r="AH115" i="51"/>
  <c r="AE115" i="51"/>
  <c r="AD115" i="51"/>
  <c r="AB115" i="51"/>
  <c r="U115" i="51"/>
  <c r="V115" i="51" s="1"/>
  <c r="I115" i="51"/>
  <c r="H115" i="51"/>
  <c r="AI114" i="51"/>
  <c r="AG114" i="51"/>
  <c r="AF114" i="51"/>
  <c r="AE114" i="51"/>
  <c r="AC114" i="51"/>
  <c r="AD114" i="51" s="1"/>
  <c r="AA114" i="51"/>
  <c r="AB114" i="51" s="1"/>
  <c r="Z114" i="51"/>
  <c r="Y114" i="51"/>
  <c r="AJ113" i="51"/>
  <c r="AK113" i="51" s="1"/>
  <c r="AH113" i="51"/>
  <c r="AE113" i="51"/>
  <c r="AD113" i="51"/>
  <c r="AB113" i="51"/>
  <c r="U113" i="51"/>
  <c r="V113" i="51" s="1"/>
  <c r="I113" i="51"/>
  <c r="H113" i="51"/>
  <c r="AJ112" i="51"/>
  <c r="AJ111" i="51" s="1"/>
  <c r="AK111" i="51" s="1"/>
  <c r="AH112" i="51"/>
  <c r="AE112" i="51"/>
  <c r="AD112" i="51"/>
  <c r="AB112" i="51"/>
  <c r="U112" i="51"/>
  <c r="V112" i="51" s="1"/>
  <c r="I112" i="51"/>
  <c r="H112" i="51"/>
  <c r="H111" i="51" s="1"/>
  <c r="AI111" i="51"/>
  <c r="AG111" i="51"/>
  <c r="AF111" i="51"/>
  <c r="AC111" i="51"/>
  <c r="AA111" i="51"/>
  <c r="Z111" i="51"/>
  <c r="Y111" i="51"/>
  <c r="I111" i="51"/>
  <c r="AJ110" i="51"/>
  <c r="AK110" i="51" s="1"/>
  <c r="AH110" i="51"/>
  <c r="AD110" i="51"/>
  <c r="AB110" i="51"/>
  <c r="U110" i="51"/>
  <c r="V110" i="51" s="1"/>
  <c r="H110" i="51"/>
  <c r="AK109" i="51"/>
  <c r="AJ109" i="51"/>
  <c r="AH109" i="51"/>
  <c r="AE109" i="51"/>
  <c r="AD109" i="51"/>
  <c r="AB109" i="51"/>
  <c r="U109" i="51"/>
  <c r="V109" i="51" s="1"/>
  <c r="I109" i="51"/>
  <c r="H109" i="51"/>
  <c r="AJ108" i="51"/>
  <c r="AK108" i="51" s="1"/>
  <c r="AH108" i="51"/>
  <c r="AE108" i="51"/>
  <c r="AD108" i="51"/>
  <c r="AB108" i="51"/>
  <c r="V108" i="51"/>
  <c r="U108" i="51"/>
  <c r="I108" i="51"/>
  <c r="H108" i="51"/>
  <c r="AJ107" i="51"/>
  <c r="AK107" i="51" s="1"/>
  <c r="AH107" i="51"/>
  <c r="AE107" i="51"/>
  <c r="AD107" i="51"/>
  <c r="AB107" i="51"/>
  <c r="U107" i="51"/>
  <c r="V107" i="51" s="1"/>
  <c r="I107" i="51"/>
  <c r="H107" i="51"/>
  <c r="AJ106" i="51"/>
  <c r="AJ105" i="51" s="1"/>
  <c r="AH106" i="51"/>
  <c r="AH105" i="51" s="1"/>
  <c r="AE106" i="51"/>
  <c r="AD106" i="51"/>
  <c r="AB106" i="51"/>
  <c r="V106" i="51"/>
  <c r="U106" i="51"/>
  <c r="I106" i="51"/>
  <c r="H106" i="51"/>
  <c r="H105" i="51" s="1"/>
  <c r="H100" i="51" s="1"/>
  <c r="AI105" i="51"/>
  <c r="AG105" i="51"/>
  <c r="AF105" i="51"/>
  <c r="AD105" i="51"/>
  <c r="AC105" i="51"/>
  <c r="AA105" i="51"/>
  <c r="AB105" i="51" s="1"/>
  <c r="Z105" i="51"/>
  <c r="Y105" i="51"/>
  <c r="AK104" i="51"/>
  <c r="AJ104" i="51"/>
  <c r="AH104" i="51"/>
  <c r="AE104" i="51"/>
  <c r="AD104" i="51"/>
  <c r="AB104" i="51"/>
  <c r="U104" i="51"/>
  <c r="V104" i="51" s="1"/>
  <c r="I104" i="51"/>
  <c r="H104" i="51"/>
  <c r="AJ103" i="51"/>
  <c r="AK103" i="51" s="1"/>
  <c r="AH103" i="51"/>
  <c r="AE103" i="51"/>
  <c r="AD103" i="51"/>
  <c r="AB103" i="51"/>
  <c r="V103" i="51"/>
  <c r="U103" i="51"/>
  <c r="I103" i="51"/>
  <c r="H103" i="51"/>
  <c r="AK102" i="51"/>
  <c r="AJ102" i="51"/>
  <c r="AH102" i="51"/>
  <c r="AE102" i="51"/>
  <c r="AE101" i="51" s="1"/>
  <c r="AD102" i="51"/>
  <c r="AB102" i="51"/>
  <c r="U102" i="51"/>
  <c r="V102" i="51" s="1"/>
  <c r="V101" i="51" s="1"/>
  <c r="I102" i="51"/>
  <c r="H102" i="51"/>
  <c r="AJ101" i="51"/>
  <c r="AI101" i="51"/>
  <c r="AI100" i="51" s="1"/>
  <c r="AG101" i="51"/>
  <c r="AH101" i="51" s="1"/>
  <c r="AF101" i="51"/>
  <c r="AC101" i="51"/>
  <c r="AA101" i="51"/>
  <c r="Z101" i="51"/>
  <c r="Y101" i="51"/>
  <c r="AB101" i="51" s="1"/>
  <c r="I101" i="51"/>
  <c r="H101" i="51"/>
  <c r="AJ98" i="51"/>
  <c r="AJ97" i="51" s="1"/>
  <c r="AH98" i="51"/>
  <c r="AE98" i="51"/>
  <c r="AE97" i="51" s="1"/>
  <c r="AD98" i="51"/>
  <c r="AB98" i="51"/>
  <c r="V98" i="51"/>
  <c r="V97" i="51" s="1"/>
  <c r="U98" i="51"/>
  <c r="I98" i="51"/>
  <c r="H98" i="51"/>
  <c r="H97" i="51" s="1"/>
  <c r="AI97" i="51"/>
  <c r="AG97" i="51"/>
  <c r="AF97" i="51"/>
  <c r="AC97" i="51"/>
  <c r="AA97" i="51"/>
  <c r="Z97" i="51"/>
  <c r="Y97" i="51"/>
  <c r="U97" i="51"/>
  <c r="I97" i="51"/>
  <c r="AJ96" i="51"/>
  <c r="AK96" i="51" s="1"/>
  <c r="AH96" i="51"/>
  <c r="AE96" i="51"/>
  <c r="AD96" i="51"/>
  <c r="AB96" i="51"/>
  <c r="U96" i="51"/>
  <c r="V96" i="51" s="1"/>
  <c r="I96" i="51"/>
  <c r="I92" i="51" s="1"/>
  <c r="H96" i="51"/>
  <c r="AJ95" i="51"/>
  <c r="AK95" i="51" s="1"/>
  <c r="AH95" i="51"/>
  <c r="AE95" i="51"/>
  <c r="AD95" i="51"/>
  <c r="AB95" i="51"/>
  <c r="U95" i="51"/>
  <c r="V95" i="51" s="1"/>
  <c r="I95" i="51"/>
  <c r="H95" i="51"/>
  <c r="AJ94" i="51"/>
  <c r="AK94" i="51" s="1"/>
  <c r="AH94" i="51"/>
  <c r="AE94" i="51"/>
  <c r="AD94" i="51"/>
  <c r="AB94" i="51"/>
  <c r="V94" i="51"/>
  <c r="U94" i="51"/>
  <c r="I94" i="51"/>
  <c r="H94" i="51"/>
  <c r="AJ93" i="51"/>
  <c r="AH93" i="51"/>
  <c r="AE93" i="51"/>
  <c r="AD93" i="51"/>
  <c r="AB93" i="51"/>
  <c r="U93" i="51"/>
  <c r="V93" i="51" s="1"/>
  <c r="I93" i="51"/>
  <c r="H93" i="51"/>
  <c r="AI92" i="51"/>
  <c r="AI79" i="51" s="1"/>
  <c r="AG92" i="51"/>
  <c r="AH92" i="51" s="1"/>
  <c r="AF92" i="51"/>
  <c r="AC92" i="51"/>
  <c r="AD92" i="51" s="1"/>
  <c r="AA92" i="51"/>
  <c r="Z92" i="51"/>
  <c r="Y92" i="51"/>
  <c r="AK91" i="51"/>
  <c r="AJ91" i="51"/>
  <c r="AH91" i="51"/>
  <c r="AE91" i="51"/>
  <c r="AD91" i="51"/>
  <c r="AB91" i="51"/>
  <c r="U91" i="51"/>
  <c r="V91" i="51" s="1"/>
  <c r="I91" i="51"/>
  <c r="H91" i="51"/>
  <c r="AJ90" i="51"/>
  <c r="AK90" i="51" s="1"/>
  <c r="AH90" i="51"/>
  <c r="AE90" i="51"/>
  <c r="AD90" i="51"/>
  <c r="AB90" i="51"/>
  <c r="U90" i="51"/>
  <c r="V90" i="51" s="1"/>
  <c r="I90" i="51"/>
  <c r="H90" i="51"/>
  <c r="AJ89" i="51"/>
  <c r="AK89" i="51" s="1"/>
  <c r="AH89" i="51"/>
  <c r="AE89" i="51"/>
  <c r="AD89" i="51"/>
  <c r="AB89" i="51"/>
  <c r="U89" i="51"/>
  <c r="V89" i="51" s="1"/>
  <c r="I89" i="51"/>
  <c r="H89" i="51"/>
  <c r="AJ88" i="51"/>
  <c r="AK88" i="51" s="1"/>
  <c r="AH88" i="51"/>
  <c r="AE88" i="51"/>
  <c r="AD88" i="51"/>
  <c r="AB88" i="51"/>
  <c r="V88" i="51"/>
  <c r="U88" i="51"/>
  <c r="I88" i="51"/>
  <c r="H88" i="51"/>
  <c r="H80" i="51" s="1"/>
  <c r="AJ87" i="51"/>
  <c r="AK87" i="51" s="1"/>
  <c r="AH87" i="51"/>
  <c r="AE87" i="51"/>
  <c r="AD87" i="51"/>
  <c r="AB87" i="51"/>
  <c r="U87" i="51"/>
  <c r="V87" i="51" s="1"/>
  <c r="I87" i="51"/>
  <c r="H87" i="51"/>
  <c r="AJ86" i="51"/>
  <c r="AK86" i="51" s="1"/>
  <c r="AH86" i="51"/>
  <c r="AD86" i="51"/>
  <c r="AB86" i="51"/>
  <c r="U86" i="51"/>
  <c r="V86" i="51" s="1"/>
  <c r="H86" i="51"/>
  <c r="AJ85" i="51"/>
  <c r="AK85" i="51" s="1"/>
  <c r="AH85" i="51"/>
  <c r="AD85" i="51"/>
  <c r="AB85" i="51"/>
  <c r="V85" i="51"/>
  <c r="U85" i="51"/>
  <c r="H85" i="51"/>
  <c r="AJ84" i="51"/>
  <c r="AK84" i="51" s="1"/>
  <c r="AH84" i="51"/>
  <c r="AD84" i="51"/>
  <c r="AB84" i="51"/>
  <c r="U84" i="51"/>
  <c r="V84" i="51" s="1"/>
  <c r="H84" i="51"/>
  <c r="AJ83" i="51"/>
  <c r="AK83" i="51" s="1"/>
  <c r="AH83" i="51"/>
  <c r="AE83" i="51"/>
  <c r="AD83" i="51"/>
  <c r="AB83" i="51"/>
  <c r="U83" i="51"/>
  <c r="V83" i="51" s="1"/>
  <c r="H83" i="51"/>
  <c r="AJ82" i="51"/>
  <c r="AK82" i="51" s="1"/>
  <c r="AH82" i="51"/>
  <c r="AD82" i="51"/>
  <c r="AB82" i="51"/>
  <c r="U82" i="51"/>
  <c r="V82" i="51" s="1"/>
  <c r="H82" i="51"/>
  <c r="AJ81" i="51"/>
  <c r="AH81" i="51"/>
  <c r="AE81" i="51"/>
  <c r="AE80" i="51" s="1"/>
  <c r="AD81" i="51"/>
  <c r="AB81" i="51"/>
  <c r="U81" i="51"/>
  <c r="V81" i="51" s="1"/>
  <c r="I81" i="51"/>
  <c r="H81" i="51"/>
  <c r="AI80" i="51"/>
  <c r="AG80" i="51"/>
  <c r="AH80" i="51" s="1"/>
  <c r="AF80" i="51"/>
  <c r="AD80" i="51"/>
  <c r="AC80" i="51"/>
  <c r="AA80" i="51"/>
  <c r="AB80" i="51" s="1"/>
  <c r="Z80" i="51"/>
  <c r="Y80" i="51"/>
  <c r="I80" i="51"/>
  <c r="AA79" i="51"/>
  <c r="AJ78" i="51"/>
  <c r="AK78" i="51" s="1"/>
  <c r="AH78" i="51"/>
  <c r="AE78" i="51"/>
  <c r="AE76" i="51" s="1"/>
  <c r="AD78" i="51"/>
  <c r="AB78" i="51"/>
  <c r="U78" i="51"/>
  <c r="V78" i="51" s="1"/>
  <c r="I78" i="51"/>
  <c r="H78" i="51"/>
  <c r="AH77" i="51"/>
  <c r="AD77" i="51"/>
  <c r="AB77" i="51"/>
  <c r="Z77" i="51"/>
  <c r="AJ77" i="51" s="1"/>
  <c r="U77" i="51"/>
  <c r="V77" i="51" s="1"/>
  <c r="H77" i="51"/>
  <c r="H76" i="51" s="1"/>
  <c r="H70" i="51" s="1"/>
  <c r="AI76" i="51"/>
  <c r="AG76" i="51"/>
  <c r="AH76" i="51" s="1"/>
  <c r="AF76" i="51"/>
  <c r="AD76" i="51"/>
  <c r="AC76" i="51"/>
  <c r="AA76" i="51"/>
  <c r="AB76" i="51" s="1"/>
  <c r="Z76" i="51"/>
  <c r="Y76" i="51"/>
  <c r="I76" i="51"/>
  <c r="AJ75" i="51"/>
  <c r="AH75" i="51"/>
  <c r="AD75" i="51"/>
  <c r="AB75" i="51"/>
  <c r="U75" i="51"/>
  <c r="V75" i="51" s="1"/>
  <c r="V74" i="51" s="1"/>
  <c r="H75" i="51"/>
  <c r="AI74" i="51"/>
  <c r="AG74" i="51"/>
  <c r="AF74" i="51"/>
  <c r="AE74" i="51"/>
  <c r="AC74" i="51"/>
  <c r="AD74" i="51" s="1"/>
  <c r="AA74" i="51"/>
  <c r="Z74" i="51"/>
  <c r="Z70" i="51" s="1"/>
  <c r="Y74" i="51"/>
  <c r="I74" i="51"/>
  <c r="AK73" i="51"/>
  <c r="AJ73" i="51"/>
  <c r="AH73" i="51"/>
  <c r="AD73" i="51"/>
  <c r="AB73" i="51"/>
  <c r="V73" i="51"/>
  <c r="U73" i="51"/>
  <c r="H73" i="51"/>
  <c r="AK72" i="51"/>
  <c r="AJ72" i="51"/>
  <c r="AJ71" i="51" s="1"/>
  <c r="AH72" i="51"/>
  <c r="AE72" i="51"/>
  <c r="AD72" i="51"/>
  <c r="AB72" i="51"/>
  <c r="U72" i="51"/>
  <c r="V72" i="51" s="1"/>
  <c r="I72" i="51"/>
  <c r="I71" i="51" s="1"/>
  <c r="I70" i="51" s="1"/>
  <c r="H72" i="51"/>
  <c r="AI71" i="51"/>
  <c r="AG71" i="51"/>
  <c r="AH71" i="51" s="1"/>
  <c r="AF71" i="51"/>
  <c r="AE71" i="51"/>
  <c r="AC71" i="51"/>
  <c r="AA71" i="51"/>
  <c r="AB71" i="51" s="1"/>
  <c r="Z71" i="51"/>
  <c r="Y71" i="51"/>
  <c r="Y70" i="51"/>
  <c r="AJ69" i="51"/>
  <c r="AK69" i="51" s="1"/>
  <c r="AH69" i="51"/>
  <c r="AD69" i="51"/>
  <c r="AB69" i="51"/>
  <c r="U69" i="51"/>
  <c r="V69" i="51" s="1"/>
  <c r="H69" i="51"/>
  <c r="AJ68" i="51"/>
  <c r="AK68" i="51" s="1"/>
  <c r="AH68" i="51"/>
  <c r="AD68" i="51"/>
  <c r="AB68" i="51"/>
  <c r="U68" i="51"/>
  <c r="V68" i="51" s="1"/>
  <c r="H68" i="51"/>
  <c r="AK67" i="51"/>
  <c r="AJ67" i="51"/>
  <c r="AH67" i="51"/>
  <c r="AE67" i="51"/>
  <c r="AD67" i="51"/>
  <c r="AB67" i="51"/>
  <c r="U67" i="51"/>
  <c r="V67" i="51" s="1"/>
  <c r="I67" i="51"/>
  <c r="H67" i="51"/>
  <c r="AJ66" i="51"/>
  <c r="AH66" i="51"/>
  <c r="AE66" i="51"/>
  <c r="AD66" i="51"/>
  <c r="AB66" i="51"/>
  <c r="U66" i="51"/>
  <c r="V66" i="51" s="1"/>
  <c r="I66" i="51"/>
  <c r="H66" i="51"/>
  <c r="AJ65" i="51"/>
  <c r="AK65" i="51" s="1"/>
  <c r="AH65" i="51"/>
  <c r="AD65" i="51"/>
  <c r="AB65" i="51"/>
  <c r="U65" i="51"/>
  <c r="V65" i="51" s="1"/>
  <c r="V64" i="51" s="1"/>
  <c r="H65" i="51"/>
  <c r="AI64" i="51"/>
  <c r="AG64" i="51"/>
  <c r="AH64" i="51" s="1"/>
  <c r="AF64" i="51"/>
  <c r="AD64" i="51"/>
  <c r="AC64" i="51"/>
  <c r="AA64" i="51"/>
  <c r="AB64" i="51" s="1"/>
  <c r="Z64" i="51"/>
  <c r="Y64" i="51"/>
  <c r="AK63" i="51"/>
  <c r="AJ63" i="51"/>
  <c r="AH63" i="51"/>
  <c r="AD63" i="51"/>
  <c r="AB63" i="51"/>
  <c r="U63" i="51"/>
  <c r="V63" i="51" s="1"/>
  <c r="H63" i="51"/>
  <c r="AJ62" i="51"/>
  <c r="AK62" i="51" s="1"/>
  <c r="AH62" i="51"/>
  <c r="AE62" i="51"/>
  <c r="AE58" i="51" s="1"/>
  <c r="AD62" i="51"/>
  <c r="AB62" i="51"/>
  <c r="U62" i="51"/>
  <c r="V62" i="51" s="1"/>
  <c r="I62" i="51"/>
  <c r="H62" i="51"/>
  <c r="AJ61" i="51"/>
  <c r="AK61" i="51" s="1"/>
  <c r="AH61" i="51"/>
  <c r="AD61" i="51"/>
  <c r="AB61" i="51"/>
  <c r="V61" i="51"/>
  <c r="U61" i="51"/>
  <c r="H61" i="51"/>
  <c r="AJ60" i="51"/>
  <c r="AH60" i="51"/>
  <c r="AE60" i="51"/>
  <c r="AD60" i="51"/>
  <c r="AB60" i="51"/>
  <c r="V60" i="51"/>
  <c r="U60" i="51"/>
  <c r="I60" i="51"/>
  <c r="H60" i="51"/>
  <c r="AK59" i="51"/>
  <c r="AJ59" i="51"/>
  <c r="AH59" i="51"/>
  <c r="AD59" i="51"/>
  <c r="AB59" i="51"/>
  <c r="U59" i="51"/>
  <c r="V59" i="51" s="1"/>
  <c r="H59" i="51"/>
  <c r="AI58" i="51"/>
  <c r="AI57" i="51" s="1"/>
  <c r="AG58" i="51"/>
  <c r="AF58" i="51"/>
  <c r="AC58" i="51"/>
  <c r="AD58" i="51" s="1"/>
  <c r="AA58" i="51"/>
  <c r="AB58" i="51" s="1"/>
  <c r="Z58" i="51"/>
  <c r="Y58" i="51"/>
  <c r="AG57" i="51"/>
  <c r="AC57" i="51"/>
  <c r="AD57" i="51" s="1"/>
  <c r="Y57" i="51"/>
  <c r="AH55" i="51"/>
  <c r="AE55" i="51"/>
  <c r="AD55" i="51"/>
  <c r="AB55" i="51"/>
  <c r="Z55" i="51"/>
  <c r="U55" i="51"/>
  <c r="V55" i="51" s="1"/>
  <c r="I55" i="51"/>
  <c r="H55" i="51"/>
  <c r="AJ54" i="51"/>
  <c r="AK54" i="51" s="1"/>
  <c r="AH54" i="51"/>
  <c r="AD54" i="51"/>
  <c r="AB54" i="51"/>
  <c r="V54" i="51"/>
  <c r="U54" i="51"/>
  <c r="I54" i="51"/>
  <c r="H54" i="51"/>
  <c r="AK53" i="51"/>
  <c r="AJ53" i="51"/>
  <c r="AH53" i="51"/>
  <c r="AE53" i="51"/>
  <c r="AD53" i="51"/>
  <c r="AB53" i="51"/>
  <c r="U53" i="51"/>
  <c r="V53" i="51" s="1"/>
  <c r="I53" i="51"/>
  <c r="I50" i="51" s="1"/>
  <c r="I49" i="51" s="1"/>
  <c r="H53" i="51"/>
  <c r="AJ52" i="51"/>
  <c r="AK52" i="51" s="1"/>
  <c r="AH52" i="51"/>
  <c r="AD52" i="51"/>
  <c r="AB52" i="51"/>
  <c r="U52" i="51"/>
  <c r="V52" i="51" s="1"/>
  <c r="H52" i="51"/>
  <c r="H50" i="51" s="1"/>
  <c r="H49" i="51" s="1"/>
  <c r="AJ51" i="51"/>
  <c r="AK51" i="51" s="1"/>
  <c r="AH51" i="51"/>
  <c r="AD51" i="51"/>
  <c r="AB51" i="51"/>
  <c r="U51" i="51"/>
  <c r="V51" i="51" s="1"/>
  <c r="H51" i="51"/>
  <c r="AI50" i="51"/>
  <c r="AI49" i="51" s="1"/>
  <c r="AH50" i="51"/>
  <c r="AG50" i="51"/>
  <c r="AG49" i="51" s="1"/>
  <c r="AF50" i="51"/>
  <c r="AE50" i="51"/>
  <c r="AC50" i="51"/>
  <c r="AA50" i="51"/>
  <c r="Y50" i="51"/>
  <c r="AF49" i="51"/>
  <c r="AE49" i="51"/>
  <c r="AC49" i="51"/>
  <c r="AJ48" i="51"/>
  <c r="AK48" i="51" s="1"/>
  <c r="AF48" i="51"/>
  <c r="AH48" i="51" s="1"/>
  <c r="AC48" i="51"/>
  <c r="AA48" i="51"/>
  <c r="Y48" i="51"/>
  <c r="AB48" i="51" s="1"/>
  <c r="U48" i="51"/>
  <c r="V48" i="51" s="1"/>
  <c r="I48" i="51"/>
  <c r="H48" i="51"/>
  <c r="AF47" i="51"/>
  <c r="AC47" i="51"/>
  <c r="AA47" i="51"/>
  <c r="AJ47" i="51" s="1"/>
  <c r="Y47" i="51"/>
  <c r="AD47" i="51" s="1"/>
  <c r="U47" i="51"/>
  <c r="V47" i="51" s="1"/>
  <c r="I47" i="51"/>
  <c r="I45" i="51" s="1"/>
  <c r="H47" i="51"/>
  <c r="AJ46" i="51"/>
  <c r="AK46" i="51" s="1"/>
  <c r="AH46" i="51"/>
  <c r="AE46" i="51"/>
  <c r="AD46" i="51"/>
  <c r="AB46" i="51"/>
  <c r="U46" i="51"/>
  <c r="V46" i="51" s="1"/>
  <c r="V45" i="51" s="1"/>
  <c r="I46" i="51"/>
  <c r="H46" i="51"/>
  <c r="AI45" i="51"/>
  <c r="AG45" i="51"/>
  <c r="Z45" i="51"/>
  <c r="Y45" i="51"/>
  <c r="AJ44" i="51"/>
  <c r="AK44" i="51" s="1"/>
  <c r="AH44" i="51"/>
  <c r="AE44" i="51"/>
  <c r="AD44" i="51"/>
  <c r="AB44" i="51"/>
  <c r="U44" i="51"/>
  <c r="V44" i="51" s="1"/>
  <c r="I44" i="51"/>
  <c r="H44" i="51"/>
  <c r="AJ43" i="51"/>
  <c r="AK43" i="51" s="1"/>
  <c r="AH43" i="51"/>
  <c r="AD43" i="51"/>
  <c r="AB43" i="51"/>
  <c r="U43" i="51"/>
  <c r="V43" i="51" s="1"/>
  <c r="H43" i="51"/>
  <c r="AJ42" i="51"/>
  <c r="AK42" i="51" s="1"/>
  <c r="AH42" i="51"/>
  <c r="AE42" i="51"/>
  <c r="AD42" i="51"/>
  <c r="AB42" i="51"/>
  <c r="U42" i="51"/>
  <c r="V42" i="51" s="1"/>
  <c r="I42" i="51"/>
  <c r="H42" i="51"/>
  <c r="AJ41" i="51"/>
  <c r="AK41" i="51" s="1"/>
  <c r="AH41" i="51"/>
  <c r="AE41" i="51"/>
  <c r="AD41" i="51"/>
  <c r="AB41" i="51"/>
  <c r="U41" i="51"/>
  <c r="V41" i="51" s="1"/>
  <c r="I41" i="51"/>
  <c r="H41" i="51"/>
  <c r="AJ40" i="51"/>
  <c r="AH40" i="51"/>
  <c r="AE40" i="51"/>
  <c r="AD40" i="51"/>
  <c r="AB40" i="51"/>
  <c r="U40" i="51"/>
  <c r="V40" i="51" s="1"/>
  <c r="I40" i="51"/>
  <c r="H40" i="51"/>
  <c r="AK39" i="51"/>
  <c r="AJ39" i="51"/>
  <c r="AH39" i="51"/>
  <c r="AE39" i="51"/>
  <c r="AD39" i="51"/>
  <c r="AB39" i="51"/>
  <c r="U39" i="51"/>
  <c r="V39" i="51" s="1"/>
  <c r="I39" i="51"/>
  <c r="H39" i="51"/>
  <c r="AJ38" i="51"/>
  <c r="AK38" i="51" s="1"/>
  <c r="AH38" i="51"/>
  <c r="AE38" i="51"/>
  <c r="AD38" i="51"/>
  <c r="AB38" i="51"/>
  <c r="V38" i="51"/>
  <c r="U38" i="51"/>
  <c r="I38" i="51"/>
  <c r="H38" i="51"/>
  <c r="AI37" i="51"/>
  <c r="AG37" i="51"/>
  <c r="AF37" i="51"/>
  <c r="AC37" i="51"/>
  <c r="AA37" i="51"/>
  <c r="Z37" i="51"/>
  <c r="Y37" i="51"/>
  <c r="AK36" i="51"/>
  <c r="AJ36" i="51"/>
  <c r="AH36" i="51"/>
  <c r="AE36" i="51"/>
  <c r="AD36" i="51"/>
  <c r="AB36" i="51"/>
  <c r="U36" i="51"/>
  <c r="V36" i="51" s="1"/>
  <c r="I36" i="51"/>
  <c r="H36" i="51"/>
  <c r="AJ35" i="51"/>
  <c r="AK35" i="51" s="1"/>
  <c r="AH35" i="51"/>
  <c r="AE35" i="51"/>
  <c r="AD35" i="51"/>
  <c r="AB35" i="51"/>
  <c r="V35" i="51"/>
  <c r="U35" i="51"/>
  <c r="I35" i="51"/>
  <c r="H35" i="51"/>
  <c r="AK34" i="51"/>
  <c r="AJ34" i="51"/>
  <c r="AJ33" i="51" s="1"/>
  <c r="AH34" i="51"/>
  <c r="AE34" i="51"/>
  <c r="AE33" i="51" s="1"/>
  <c r="AD34" i="51"/>
  <c r="AB34" i="51"/>
  <c r="U34" i="51"/>
  <c r="V34" i="51" s="1"/>
  <c r="V33" i="51" s="1"/>
  <c r="I34" i="51"/>
  <c r="H34" i="51"/>
  <c r="H33" i="51" s="1"/>
  <c r="AI33" i="51"/>
  <c r="AG33" i="51"/>
  <c r="AH33" i="51" s="1"/>
  <c r="AF33" i="51"/>
  <c r="AC33" i="51"/>
  <c r="AA33" i="51"/>
  <c r="AB33" i="51" s="1"/>
  <c r="Z33" i="51"/>
  <c r="Z32" i="51" s="1"/>
  <c r="Y33" i="51"/>
  <c r="AD33" i="51" s="1"/>
  <c r="I33" i="51"/>
  <c r="AJ31" i="51"/>
  <c r="AK31" i="51" s="1"/>
  <c r="AH31" i="51"/>
  <c r="AE31" i="51"/>
  <c r="AD31" i="51"/>
  <c r="AB31" i="51"/>
  <c r="V31" i="51"/>
  <c r="U31" i="51"/>
  <c r="I31" i="51"/>
  <c r="H31" i="51"/>
  <c r="AK30" i="51"/>
  <c r="AJ30" i="51"/>
  <c r="AH30" i="51"/>
  <c r="AE30" i="51"/>
  <c r="AD30" i="51"/>
  <c r="AB30" i="51"/>
  <c r="U30" i="51"/>
  <c r="V30" i="51" s="1"/>
  <c r="I30" i="51"/>
  <c r="H30" i="51"/>
  <c r="AJ29" i="51"/>
  <c r="AK29" i="51" s="1"/>
  <c r="AH29" i="51"/>
  <c r="AE29" i="51"/>
  <c r="AD29" i="51"/>
  <c r="AB29" i="51"/>
  <c r="V29" i="51"/>
  <c r="U29" i="51"/>
  <c r="I29" i="51"/>
  <c r="H29" i="51"/>
  <c r="AJ28" i="51"/>
  <c r="AK28" i="51" s="1"/>
  <c r="AH28" i="51"/>
  <c r="AE28" i="51"/>
  <c r="AD28" i="51"/>
  <c r="AB28" i="51"/>
  <c r="U28" i="51"/>
  <c r="V28" i="51" s="1"/>
  <c r="I28" i="51"/>
  <c r="H28" i="51"/>
  <c r="AJ27" i="51"/>
  <c r="AH27" i="51"/>
  <c r="AE27" i="51"/>
  <c r="AD27" i="51"/>
  <c r="AB27" i="51"/>
  <c r="V27" i="51"/>
  <c r="U27" i="51"/>
  <c r="I27" i="51"/>
  <c r="H27" i="51"/>
  <c r="AI26" i="51"/>
  <c r="AG26" i="51"/>
  <c r="AF26" i="51"/>
  <c r="AC26" i="51"/>
  <c r="AA26" i="51"/>
  <c r="Z26" i="51"/>
  <c r="Y26" i="51"/>
  <c r="AJ25" i="51"/>
  <c r="AK25" i="51" s="1"/>
  <c r="AH25" i="51"/>
  <c r="AE25" i="51"/>
  <c r="AD25" i="51"/>
  <c r="AB25" i="51"/>
  <c r="U25" i="51"/>
  <c r="V25" i="51" s="1"/>
  <c r="I25" i="51"/>
  <c r="H25" i="51"/>
  <c r="AJ24" i="51"/>
  <c r="AK24" i="51" s="1"/>
  <c r="AH24" i="51"/>
  <c r="AE24" i="51"/>
  <c r="AE23" i="51" s="1"/>
  <c r="AD24" i="51"/>
  <c r="AB24" i="51"/>
  <c r="V24" i="51"/>
  <c r="V23" i="51" s="1"/>
  <c r="U24" i="51"/>
  <c r="I24" i="51"/>
  <c r="H24" i="51"/>
  <c r="AJ23" i="51"/>
  <c r="AI23" i="51"/>
  <c r="AG23" i="51"/>
  <c r="AF23" i="51"/>
  <c r="AC23" i="51"/>
  <c r="AA23" i="51"/>
  <c r="Z23" i="51"/>
  <c r="Y23" i="51"/>
  <c r="AJ22" i="51"/>
  <c r="AK22" i="51" s="1"/>
  <c r="AH22" i="51"/>
  <c r="AE22" i="51"/>
  <c r="AD22" i="51"/>
  <c r="AB22" i="51"/>
  <c r="U22" i="51"/>
  <c r="V22" i="51" s="1"/>
  <c r="I22" i="51"/>
  <c r="H22" i="51"/>
  <c r="AJ21" i="51"/>
  <c r="AK21" i="51" s="1"/>
  <c r="AH21" i="51"/>
  <c r="AE21" i="51"/>
  <c r="AD21" i="51"/>
  <c r="AB21" i="51"/>
  <c r="V21" i="51"/>
  <c r="U21" i="51"/>
  <c r="I21" i="51"/>
  <c r="H21" i="51"/>
  <c r="AK20" i="51"/>
  <c r="AJ20" i="51"/>
  <c r="AH20" i="51"/>
  <c r="AD20" i="51"/>
  <c r="AB20" i="51"/>
  <c r="U20" i="51"/>
  <c r="V20" i="51" s="1"/>
  <c r="H20" i="51"/>
  <c r="AK19" i="51"/>
  <c r="AJ19" i="51"/>
  <c r="AH19" i="51"/>
  <c r="AE19" i="51"/>
  <c r="AD19" i="51"/>
  <c r="AB19" i="51"/>
  <c r="U19" i="51"/>
  <c r="V19" i="51" s="1"/>
  <c r="H19" i="51"/>
  <c r="AK18" i="51"/>
  <c r="AJ18" i="51"/>
  <c r="AH18" i="51"/>
  <c r="AE18" i="51"/>
  <c r="AD18" i="51"/>
  <c r="AB18" i="51"/>
  <c r="U18" i="51"/>
  <c r="V18" i="51" s="1"/>
  <c r="I18" i="51"/>
  <c r="H18" i="51"/>
  <c r="AJ17" i="51"/>
  <c r="AK17" i="51" s="1"/>
  <c r="AH17" i="51"/>
  <c r="AD17" i="51"/>
  <c r="AB17" i="51"/>
  <c r="U17" i="51"/>
  <c r="V17" i="51" s="1"/>
  <c r="H17" i="51"/>
  <c r="AJ16" i="51"/>
  <c r="AK16" i="51" s="1"/>
  <c r="AH16" i="51"/>
  <c r="AD16" i="51"/>
  <c r="AB16" i="51"/>
  <c r="V16" i="51"/>
  <c r="U16" i="51"/>
  <c r="H16" i="51"/>
  <c r="AJ15" i="51"/>
  <c r="AK15" i="51" s="1"/>
  <c r="AH15" i="51"/>
  <c r="AE15" i="51"/>
  <c r="AD15" i="51"/>
  <c r="AB15" i="51"/>
  <c r="V15" i="51"/>
  <c r="U15" i="51"/>
  <c r="I15" i="51"/>
  <c r="H15" i="51"/>
  <c r="AJ14" i="51"/>
  <c r="AK14" i="51" s="1"/>
  <c r="AH14" i="51"/>
  <c r="AE14" i="51"/>
  <c r="AD14" i="51"/>
  <c r="AB14" i="51"/>
  <c r="U14" i="51"/>
  <c r="V14" i="51" s="1"/>
  <c r="I14" i="51"/>
  <c r="H14" i="51"/>
  <c r="AJ13" i="51"/>
  <c r="AK13" i="51" s="1"/>
  <c r="AH13" i="51"/>
  <c r="AE13" i="51"/>
  <c r="AD13" i="51"/>
  <c r="AB13" i="51"/>
  <c r="U13" i="51"/>
  <c r="V13" i="51" s="1"/>
  <c r="I13" i="51"/>
  <c r="H13" i="51"/>
  <c r="H10" i="51" s="1"/>
  <c r="AJ12" i="51"/>
  <c r="AK12" i="51" s="1"/>
  <c r="AH12" i="51"/>
  <c r="AE12" i="51"/>
  <c r="AD12" i="51"/>
  <c r="AB12" i="51"/>
  <c r="U12" i="51"/>
  <c r="V12" i="51" s="1"/>
  <c r="I12" i="51"/>
  <c r="H12" i="51"/>
  <c r="AJ11" i="51"/>
  <c r="AK11" i="51" s="1"/>
  <c r="AH11" i="51"/>
  <c r="AD11" i="51"/>
  <c r="AB11" i="51"/>
  <c r="U11" i="51"/>
  <c r="V11" i="51" s="1"/>
  <c r="H11" i="51"/>
  <c r="AI10" i="51"/>
  <c r="AG10" i="51"/>
  <c r="AF10" i="51"/>
  <c r="AC10" i="51"/>
  <c r="AD10" i="51" s="1"/>
  <c r="AB10" i="51"/>
  <c r="AA10" i="51"/>
  <c r="Z10" i="51"/>
  <c r="Y10" i="51"/>
  <c r="AI9" i="51"/>
  <c r="B4" i="51"/>
  <c r="A2" i="51"/>
  <c r="AB165" i="37"/>
  <c r="AB164" i="37" s="1"/>
  <c r="AB163" i="37" s="1"/>
  <c r="AB162" i="37" s="1"/>
  <c r="AB161" i="37" s="1"/>
  <c r="AA165" i="37"/>
  <c r="AA164" i="37" s="1"/>
  <c r="Z165" i="37"/>
  <c r="Y165" i="37"/>
  <c r="Y164" i="37" s="1"/>
  <c r="Y163" i="37" s="1"/>
  <c r="Y162" i="37" s="1"/>
  <c r="Y161" i="37" s="1"/>
  <c r="Z164" i="37"/>
  <c r="Z163" i="37" s="1"/>
  <c r="Z162" i="37" s="1"/>
  <c r="Z161" i="37" s="1"/>
  <c r="X164" i="37"/>
  <c r="W164" i="37"/>
  <c r="W163" i="37" s="1"/>
  <c r="W162" i="37" s="1"/>
  <c r="W161" i="37" s="1"/>
  <c r="V164" i="37"/>
  <c r="U164" i="37"/>
  <c r="T164" i="37"/>
  <c r="T163" i="37" s="1"/>
  <c r="T162" i="37" s="1"/>
  <c r="T161" i="37" s="1"/>
  <c r="S164" i="37"/>
  <c r="R164" i="37"/>
  <c r="R163" i="37" s="1"/>
  <c r="Q164" i="37"/>
  <c r="Q163" i="37" s="1"/>
  <c r="Q162" i="37" s="1"/>
  <c r="Q161" i="37" s="1"/>
  <c r="P164" i="37"/>
  <c r="O164" i="37"/>
  <c r="O163" i="37" s="1"/>
  <c r="O162" i="37" s="1"/>
  <c r="O161" i="37" s="1"/>
  <c r="N164" i="37"/>
  <c r="M164" i="37"/>
  <c r="L164" i="37"/>
  <c r="K164" i="37"/>
  <c r="J164" i="37"/>
  <c r="J163" i="37" s="1"/>
  <c r="I164" i="37"/>
  <c r="AA163" i="37"/>
  <c r="AA162" i="37" s="1"/>
  <c r="AA161" i="37" s="1"/>
  <c r="X163" i="37"/>
  <c r="V163" i="37"/>
  <c r="V162" i="37" s="1"/>
  <c r="V161" i="37" s="1"/>
  <c r="U163" i="37"/>
  <c r="S163" i="37"/>
  <c r="S162" i="37" s="1"/>
  <c r="P163" i="37"/>
  <c r="P162" i="37" s="1"/>
  <c r="N163" i="37"/>
  <c r="N162" i="37" s="1"/>
  <c r="N161" i="37" s="1"/>
  <c r="M163" i="37"/>
  <c r="L163" i="37"/>
  <c r="L162" i="37" s="1"/>
  <c r="L161" i="37" s="1"/>
  <c r="K163" i="37"/>
  <c r="K162" i="37" s="1"/>
  <c r="I163" i="37"/>
  <c r="I162" i="37" s="1"/>
  <c r="I161" i="37" s="1"/>
  <c r="X162" i="37"/>
  <c r="U162" i="37"/>
  <c r="R162" i="37"/>
  <c r="R161" i="37" s="1"/>
  <c r="M162" i="37"/>
  <c r="J162" i="37"/>
  <c r="J161" i="37" s="1"/>
  <c r="X161" i="37"/>
  <c r="U161" i="37"/>
  <c r="S161" i="37"/>
  <c r="P161" i="37"/>
  <c r="M161" i="37"/>
  <c r="K161" i="37"/>
  <c r="AB160" i="37"/>
  <c r="AB159" i="37" s="1"/>
  <c r="AB158" i="37" s="1"/>
  <c r="AB157" i="37" s="1"/>
  <c r="AA160" i="37"/>
  <c r="Z160" i="37"/>
  <c r="Y160" i="37"/>
  <c r="Y159" i="37" s="1"/>
  <c r="AA159" i="37"/>
  <c r="AA158" i="37" s="1"/>
  <c r="AA157" i="37" s="1"/>
  <c r="Z159" i="37"/>
  <c r="Z158" i="37" s="1"/>
  <c r="Z157" i="37" s="1"/>
  <c r="X159" i="37"/>
  <c r="X158" i="37" s="1"/>
  <c r="W159" i="37"/>
  <c r="V159" i="37"/>
  <c r="U159" i="37"/>
  <c r="U158" i="37" s="1"/>
  <c r="T159" i="37"/>
  <c r="S159" i="37"/>
  <c r="S158" i="37" s="1"/>
  <c r="S157" i="37" s="1"/>
  <c r="R159" i="37"/>
  <c r="R158" i="37" s="1"/>
  <c r="R157" i="37" s="1"/>
  <c r="Q159" i="37"/>
  <c r="P159" i="37"/>
  <c r="P158" i="37" s="1"/>
  <c r="O159" i="37"/>
  <c r="N159" i="37"/>
  <c r="M159" i="37"/>
  <c r="M158" i="37" s="1"/>
  <c r="M157" i="37" s="1"/>
  <c r="L159" i="37"/>
  <c r="K159" i="37"/>
  <c r="K158" i="37" s="1"/>
  <c r="K157" i="37" s="1"/>
  <c r="J159" i="37"/>
  <c r="J158" i="37" s="1"/>
  <c r="J157" i="37" s="1"/>
  <c r="I159" i="37"/>
  <c r="Y158" i="37"/>
  <c r="Y157" i="37" s="1"/>
  <c r="W158" i="37"/>
  <c r="W157" i="37" s="1"/>
  <c r="V158" i="37"/>
  <c r="V157" i="37" s="1"/>
  <c r="T158" i="37"/>
  <c r="T157" i="37" s="1"/>
  <c r="Q158" i="37"/>
  <c r="Q157" i="37" s="1"/>
  <c r="O158" i="37"/>
  <c r="O157" i="37" s="1"/>
  <c r="N158" i="37"/>
  <c r="N157" i="37" s="1"/>
  <c r="L158" i="37"/>
  <c r="L157" i="37" s="1"/>
  <c r="I158" i="37"/>
  <c r="I157" i="37" s="1"/>
  <c r="X157" i="37"/>
  <c r="U157" i="37"/>
  <c r="P157" i="37"/>
  <c r="AB156" i="37"/>
  <c r="AB155" i="37" s="1"/>
  <c r="AA156" i="37"/>
  <c r="Z156" i="37"/>
  <c r="Y156" i="37"/>
  <c r="Y155" i="37" s="1"/>
  <c r="Y154" i="37" s="1"/>
  <c r="Y153" i="37" s="1"/>
  <c r="AA155" i="37"/>
  <c r="AA154" i="37" s="1"/>
  <c r="AA153" i="37" s="1"/>
  <c r="Z155" i="37"/>
  <c r="Z154" i="37" s="1"/>
  <c r="Z153" i="37" s="1"/>
  <c r="X155" i="37"/>
  <c r="X154" i="37" s="1"/>
  <c r="X153" i="37" s="1"/>
  <c r="W155" i="37"/>
  <c r="V155" i="37"/>
  <c r="U155" i="37"/>
  <c r="U154" i="37" s="1"/>
  <c r="T155" i="37"/>
  <c r="S155" i="37"/>
  <c r="S154" i="37" s="1"/>
  <c r="S153" i="37" s="1"/>
  <c r="R155" i="37"/>
  <c r="R154" i="37" s="1"/>
  <c r="R153" i="37" s="1"/>
  <c r="Q155" i="37"/>
  <c r="P155" i="37"/>
  <c r="P154" i="37" s="1"/>
  <c r="P153" i="37" s="1"/>
  <c r="O155" i="37"/>
  <c r="N155" i="37"/>
  <c r="M155" i="37"/>
  <c r="M154" i="37" s="1"/>
  <c r="M153" i="37" s="1"/>
  <c r="L155" i="37"/>
  <c r="K155" i="37"/>
  <c r="K154" i="37" s="1"/>
  <c r="K153" i="37" s="1"/>
  <c r="J155" i="37"/>
  <c r="J154" i="37" s="1"/>
  <c r="J153" i="37" s="1"/>
  <c r="I155" i="37"/>
  <c r="AB154" i="37"/>
  <c r="AB153" i="37" s="1"/>
  <c r="W154" i="37"/>
  <c r="W153" i="37" s="1"/>
  <c r="V154" i="37"/>
  <c r="V153" i="37" s="1"/>
  <c r="T154" i="37"/>
  <c r="T153" i="37" s="1"/>
  <c r="Q154" i="37"/>
  <c r="Q153" i="37" s="1"/>
  <c r="O154" i="37"/>
  <c r="O153" i="37" s="1"/>
  <c r="N154" i="37"/>
  <c r="N153" i="37" s="1"/>
  <c r="L154" i="37"/>
  <c r="L153" i="37" s="1"/>
  <c r="I154" i="37"/>
  <c r="I153" i="37" s="1"/>
  <c r="U153" i="37"/>
  <c r="AB152" i="37"/>
  <c r="AB151" i="37" s="1"/>
  <c r="AB150" i="37" s="1"/>
  <c r="AB149" i="37" s="1"/>
  <c r="AA152" i="37"/>
  <c r="Z152" i="37"/>
  <c r="Y152" i="37"/>
  <c r="Y151" i="37" s="1"/>
  <c r="AA151" i="37"/>
  <c r="AA150" i="37" s="1"/>
  <c r="AA149" i="37" s="1"/>
  <c r="Z151" i="37"/>
  <c r="Z150" i="37" s="1"/>
  <c r="Z149" i="37" s="1"/>
  <c r="X151" i="37"/>
  <c r="X150" i="37" s="1"/>
  <c r="W151" i="37"/>
  <c r="V151" i="37"/>
  <c r="U151" i="37"/>
  <c r="U150" i="37" s="1"/>
  <c r="T151" i="37"/>
  <c r="S151" i="37"/>
  <c r="S150" i="37" s="1"/>
  <c r="S149" i="37" s="1"/>
  <c r="R151" i="37"/>
  <c r="R150" i="37" s="1"/>
  <c r="R149" i="37" s="1"/>
  <c r="Q151" i="37"/>
  <c r="P151" i="37"/>
  <c r="P150" i="37" s="1"/>
  <c r="O151" i="37"/>
  <c r="N151" i="37"/>
  <c r="M151" i="37"/>
  <c r="M150" i="37" s="1"/>
  <c r="M149" i="37" s="1"/>
  <c r="L151" i="37"/>
  <c r="K151" i="37"/>
  <c r="K150" i="37" s="1"/>
  <c r="K149" i="37" s="1"/>
  <c r="J151" i="37"/>
  <c r="J150" i="37" s="1"/>
  <c r="J149" i="37" s="1"/>
  <c r="I151" i="37"/>
  <c r="Y150" i="37"/>
  <c r="Y149" i="37" s="1"/>
  <c r="W150" i="37"/>
  <c r="W149" i="37" s="1"/>
  <c r="V150" i="37"/>
  <c r="V149" i="37" s="1"/>
  <c r="T150" i="37"/>
  <c r="T149" i="37" s="1"/>
  <c r="Q150" i="37"/>
  <c r="Q149" i="37" s="1"/>
  <c r="O150" i="37"/>
  <c r="O149" i="37" s="1"/>
  <c r="N150" i="37"/>
  <c r="N149" i="37" s="1"/>
  <c r="L150" i="37"/>
  <c r="L149" i="37" s="1"/>
  <c r="I150" i="37"/>
  <c r="I149" i="37" s="1"/>
  <c r="X149" i="37"/>
  <c r="U149" i="37"/>
  <c r="P149" i="37"/>
  <c r="AB148" i="37"/>
  <c r="AB147" i="37" s="1"/>
  <c r="AA148" i="37"/>
  <c r="Z148" i="37"/>
  <c r="Y148" i="37"/>
  <c r="Y147" i="37" s="1"/>
  <c r="Y146" i="37" s="1"/>
  <c r="Y145" i="37" s="1"/>
  <c r="AA147" i="37"/>
  <c r="AA146" i="37" s="1"/>
  <c r="AA145" i="37" s="1"/>
  <c r="Z147" i="37"/>
  <c r="Z146" i="37" s="1"/>
  <c r="Z145" i="37" s="1"/>
  <c r="X147" i="37"/>
  <c r="X146" i="37" s="1"/>
  <c r="X145" i="37" s="1"/>
  <c r="W147" i="37"/>
  <c r="V147" i="37"/>
  <c r="U147" i="37"/>
  <c r="U146" i="37" s="1"/>
  <c r="T147" i="37"/>
  <c r="S147" i="37"/>
  <c r="S146" i="37" s="1"/>
  <c r="S145" i="37" s="1"/>
  <c r="R147" i="37"/>
  <c r="R146" i="37" s="1"/>
  <c r="R145" i="37" s="1"/>
  <c r="Q147" i="37"/>
  <c r="P147" i="37"/>
  <c r="P146" i="37" s="1"/>
  <c r="P145" i="37" s="1"/>
  <c r="O147" i="37"/>
  <c r="N147" i="37"/>
  <c r="M147" i="37"/>
  <c r="M146" i="37" s="1"/>
  <c r="M145" i="37" s="1"/>
  <c r="L147" i="37"/>
  <c r="K147" i="37"/>
  <c r="K146" i="37" s="1"/>
  <c r="K145" i="37" s="1"/>
  <c r="J147" i="37"/>
  <c r="J146" i="37" s="1"/>
  <c r="J145" i="37" s="1"/>
  <c r="I147" i="37"/>
  <c r="AB146" i="37"/>
  <c r="AB145" i="37" s="1"/>
  <c r="W146" i="37"/>
  <c r="W145" i="37" s="1"/>
  <c r="V146" i="37"/>
  <c r="V145" i="37" s="1"/>
  <c r="T146" i="37"/>
  <c r="T145" i="37" s="1"/>
  <c r="Q146" i="37"/>
  <c r="Q145" i="37" s="1"/>
  <c r="O146" i="37"/>
  <c r="O145" i="37" s="1"/>
  <c r="N146" i="37"/>
  <c r="N145" i="37" s="1"/>
  <c r="L146" i="37"/>
  <c r="L145" i="37" s="1"/>
  <c r="I146" i="37"/>
  <c r="I145" i="37" s="1"/>
  <c r="U145" i="37"/>
  <c r="AB144" i="37"/>
  <c r="AB143" i="37" s="1"/>
  <c r="AB142" i="37" s="1"/>
  <c r="AB141" i="37" s="1"/>
  <c r="AA144" i="37"/>
  <c r="Z144" i="37"/>
  <c r="Y144" i="37"/>
  <c r="Y143" i="37" s="1"/>
  <c r="AA143" i="37"/>
  <c r="AA142" i="37" s="1"/>
  <c r="AA141" i="37" s="1"/>
  <c r="Z143" i="37"/>
  <c r="Z142" i="37" s="1"/>
  <c r="Z141" i="37" s="1"/>
  <c r="X143" i="37"/>
  <c r="X142" i="37" s="1"/>
  <c r="W143" i="37"/>
  <c r="V143" i="37"/>
  <c r="U143" i="37"/>
  <c r="U142" i="37" s="1"/>
  <c r="T143" i="37"/>
  <c r="S143" i="37"/>
  <c r="S142" i="37" s="1"/>
  <c r="S141" i="37" s="1"/>
  <c r="R143" i="37"/>
  <c r="R142" i="37" s="1"/>
  <c r="R141" i="37" s="1"/>
  <c r="Q143" i="37"/>
  <c r="P143" i="37"/>
  <c r="P142" i="37" s="1"/>
  <c r="O143" i="37"/>
  <c r="N143" i="37"/>
  <c r="M143" i="37"/>
  <c r="M142" i="37" s="1"/>
  <c r="M141" i="37" s="1"/>
  <c r="L143" i="37"/>
  <c r="K143" i="37"/>
  <c r="K142" i="37" s="1"/>
  <c r="K141" i="37" s="1"/>
  <c r="J143" i="37"/>
  <c r="J142" i="37" s="1"/>
  <c r="J141" i="37" s="1"/>
  <c r="I143" i="37"/>
  <c r="Y142" i="37"/>
  <c r="Y141" i="37" s="1"/>
  <c r="W142" i="37"/>
  <c r="W141" i="37" s="1"/>
  <c r="V142" i="37"/>
  <c r="V141" i="37" s="1"/>
  <c r="T142" i="37"/>
  <c r="T141" i="37" s="1"/>
  <c r="Q142" i="37"/>
  <c r="Q141" i="37" s="1"/>
  <c r="O142" i="37"/>
  <c r="O141" i="37" s="1"/>
  <c r="N142" i="37"/>
  <c r="N141" i="37" s="1"/>
  <c r="L142" i="37"/>
  <c r="L141" i="37" s="1"/>
  <c r="I142" i="37"/>
  <c r="I141" i="37" s="1"/>
  <c r="X141" i="37"/>
  <c r="U141" i="37"/>
  <c r="P141" i="37"/>
  <c r="AB140" i="37"/>
  <c r="AB139" i="37" s="1"/>
  <c r="AA140" i="37"/>
  <c r="Z140" i="37"/>
  <c r="Y140" i="37"/>
  <c r="Y139" i="37" s="1"/>
  <c r="Y138" i="37" s="1"/>
  <c r="Y137" i="37" s="1"/>
  <c r="AA139" i="37"/>
  <c r="AA138" i="37" s="1"/>
  <c r="AA137" i="37" s="1"/>
  <c r="Z139" i="37"/>
  <c r="Z138" i="37" s="1"/>
  <c r="Z137" i="37" s="1"/>
  <c r="X139" i="37"/>
  <c r="X138" i="37" s="1"/>
  <c r="X137" i="37" s="1"/>
  <c r="W139" i="37"/>
  <c r="V139" i="37"/>
  <c r="U139" i="37"/>
  <c r="U138" i="37" s="1"/>
  <c r="U137" i="37" s="1"/>
  <c r="T139" i="37"/>
  <c r="S139" i="37"/>
  <c r="S138" i="37" s="1"/>
  <c r="S137" i="37" s="1"/>
  <c r="R139" i="37"/>
  <c r="R138" i="37" s="1"/>
  <c r="R137" i="37" s="1"/>
  <c r="Q139" i="37"/>
  <c r="P139" i="37"/>
  <c r="P138" i="37" s="1"/>
  <c r="P137" i="37" s="1"/>
  <c r="O139" i="37"/>
  <c r="N139" i="37"/>
  <c r="M139" i="37"/>
  <c r="M138" i="37" s="1"/>
  <c r="M137" i="37" s="1"/>
  <c r="L139" i="37"/>
  <c r="K139" i="37"/>
  <c r="K138" i="37" s="1"/>
  <c r="K137" i="37" s="1"/>
  <c r="J139" i="37"/>
  <c r="J138" i="37" s="1"/>
  <c r="J137" i="37" s="1"/>
  <c r="I139" i="37"/>
  <c r="AB138" i="37"/>
  <c r="AB137" i="37" s="1"/>
  <c r="W138" i="37"/>
  <c r="W137" i="37" s="1"/>
  <c r="V138" i="37"/>
  <c r="V137" i="37" s="1"/>
  <c r="T138" i="37"/>
  <c r="T137" i="37" s="1"/>
  <c r="Q138" i="37"/>
  <c r="Q137" i="37" s="1"/>
  <c r="O138" i="37"/>
  <c r="O137" i="37" s="1"/>
  <c r="N138" i="37"/>
  <c r="N137" i="37" s="1"/>
  <c r="L138" i="37"/>
  <c r="L137" i="37" s="1"/>
  <c r="I138" i="37"/>
  <c r="I137" i="37" s="1"/>
  <c r="AB136" i="37"/>
  <c r="AB135" i="37" s="1"/>
  <c r="AB134" i="37" s="1"/>
  <c r="AB133" i="37" s="1"/>
  <c r="AA136" i="37"/>
  <c r="Z136" i="37"/>
  <c r="Y136" i="37"/>
  <c r="Y135" i="37" s="1"/>
  <c r="AA135" i="37"/>
  <c r="AA134" i="37" s="1"/>
  <c r="Z135" i="37"/>
  <c r="Z134" i="37" s="1"/>
  <c r="Z133" i="37" s="1"/>
  <c r="X135" i="37"/>
  <c r="X134" i="37" s="1"/>
  <c r="W135" i="37"/>
  <c r="V135" i="37"/>
  <c r="U135" i="37"/>
  <c r="U134" i="37" s="1"/>
  <c r="T135" i="37"/>
  <c r="S135" i="37"/>
  <c r="S134" i="37" s="1"/>
  <c r="R135" i="37"/>
  <c r="R134" i="37" s="1"/>
  <c r="R133" i="37" s="1"/>
  <c r="Q135" i="37"/>
  <c r="P135" i="37"/>
  <c r="P134" i="37" s="1"/>
  <c r="P133" i="37" s="1"/>
  <c r="O135" i="37"/>
  <c r="N135" i="37"/>
  <c r="M135" i="37"/>
  <c r="M134" i="37" s="1"/>
  <c r="L135" i="37"/>
  <c r="K135" i="37"/>
  <c r="K134" i="37" s="1"/>
  <c r="J135" i="37"/>
  <c r="J134" i="37" s="1"/>
  <c r="J133" i="37" s="1"/>
  <c r="I135" i="37"/>
  <c r="Y134" i="37"/>
  <c r="Y133" i="37" s="1"/>
  <c r="W134" i="37"/>
  <c r="W133" i="37" s="1"/>
  <c r="V134" i="37"/>
  <c r="V133" i="37" s="1"/>
  <c r="T134" i="37"/>
  <c r="T133" i="37" s="1"/>
  <c r="Q134" i="37"/>
  <c r="Q133" i="37" s="1"/>
  <c r="O134" i="37"/>
  <c r="O133" i="37" s="1"/>
  <c r="N134" i="37"/>
  <c r="N133" i="37" s="1"/>
  <c r="L134" i="37"/>
  <c r="L133" i="37" s="1"/>
  <c r="I134" i="37"/>
  <c r="I133" i="37" s="1"/>
  <c r="AA133" i="37"/>
  <c r="X133" i="37"/>
  <c r="U133" i="37"/>
  <c r="S133" i="37"/>
  <c r="M133" i="37"/>
  <c r="K133" i="37"/>
  <c r="AB132" i="37"/>
  <c r="AB131" i="37" s="1"/>
  <c r="AA132" i="37"/>
  <c r="Z132" i="37"/>
  <c r="Y132" i="37"/>
  <c r="Y131" i="37" s="1"/>
  <c r="Y130" i="37" s="1"/>
  <c r="Y129" i="37" s="1"/>
  <c r="AA131" i="37"/>
  <c r="Z131" i="37"/>
  <c r="Z130" i="37" s="1"/>
  <c r="Z129" i="37" s="1"/>
  <c r="X131" i="37"/>
  <c r="X130" i="37" s="1"/>
  <c r="X129" i="37" s="1"/>
  <c r="W131" i="37"/>
  <c r="V131" i="37"/>
  <c r="U131" i="37"/>
  <c r="U130" i="37" s="1"/>
  <c r="T131" i="37"/>
  <c r="S131" i="37"/>
  <c r="S130" i="37" s="1"/>
  <c r="S129" i="37" s="1"/>
  <c r="R131" i="37"/>
  <c r="R130" i="37" s="1"/>
  <c r="R129" i="37" s="1"/>
  <c r="Q131" i="37"/>
  <c r="P131" i="37"/>
  <c r="P130" i="37" s="1"/>
  <c r="P129" i="37" s="1"/>
  <c r="O131" i="37"/>
  <c r="N131" i="37"/>
  <c r="M131" i="37"/>
  <c r="M130" i="37" s="1"/>
  <c r="L131" i="37"/>
  <c r="K131" i="37"/>
  <c r="K130" i="37" s="1"/>
  <c r="J131" i="37"/>
  <c r="J130" i="37" s="1"/>
  <c r="J129" i="37" s="1"/>
  <c r="I131" i="37"/>
  <c r="AB130" i="37"/>
  <c r="AB129" i="37" s="1"/>
  <c r="AA130" i="37"/>
  <c r="W130" i="37"/>
  <c r="W129" i="37" s="1"/>
  <c r="V130" i="37"/>
  <c r="V129" i="37" s="1"/>
  <c r="T130" i="37"/>
  <c r="T129" i="37" s="1"/>
  <c r="Q130" i="37"/>
  <c r="Q129" i="37" s="1"/>
  <c r="O130" i="37"/>
  <c r="O129" i="37" s="1"/>
  <c r="N130" i="37"/>
  <c r="N129" i="37" s="1"/>
  <c r="L130" i="37"/>
  <c r="L129" i="37" s="1"/>
  <c r="I130" i="37"/>
  <c r="I129" i="37" s="1"/>
  <c r="AA129" i="37"/>
  <c r="U129" i="37"/>
  <c r="M129" i="37"/>
  <c r="K129" i="37"/>
  <c r="AB128" i="37"/>
  <c r="AB127" i="37" s="1"/>
  <c r="AA128" i="37"/>
  <c r="Z128" i="37"/>
  <c r="Y128" i="37"/>
  <c r="Y127" i="37" s="1"/>
  <c r="Y126" i="37" s="1"/>
  <c r="Y125" i="37" s="1"/>
  <c r="Y120" i="37" s="1"/>
  <c r="AA127" i="37"/>
  <c r="Z127" i="37"/>
  <c r="Z126" i="37" s="1"/>
  <c r="X127" i="37"/>
  <c r="X126" i="37" s="1"/>
  <c r="X125" i="37" s="1"/>
  <c r="W127" i="37"/>
  <c r="W126" i="37" s="1"/>
  <c r="W125" i="37" s="1"/>
  <c r="V127" i="37"/>
  <c r="U127" i="37"/>
  <c r="U126" i="37" s="1"/>
  <c r="U125" i="37" s="1"/>
  <c r="T127" i="37"/>
  <c r="S127" i="37"/>
  <c r="S126" i="37" s="1"/>
  <c r="S125" i="37" s="1"/>
  <c r="R127" i="37"/>
  <c r="Q127" i="37"/>
  <c r="P127" i="37"/>
  <c r="O127" i="37"/>
  <c r="O126" i="37" s="1"/>
  <c r="O125" i="37" s="1"/>
  <c r="N127" i="37"/>
  <c r="M127" i="37"/>
  <c r="L127" i="37"/>
  <c r="K127" i="37"/>
  <c r="J127" i="37"/>
  <c r="I127" i="37"/>
  <c r="AB126" i="37"/>
  <c r="AB125" i="37" s="1"/>
  <c r="AA126" i="37"/>
  <c r="AA125" i="37" s="1"/>
  <c r="V126" i="37"/>
  <c r="V125" i="37" s="1"/>
  <c r="T126" i="37"/>
  <c r="R126" i="37"/>
  <c r="R125" i="37" s="1"/>
  <c r="Q126" i="37"/>
  <c r="Q125" i="37" s="1"/>
  <c r="P126" i="37"/>
  <c r="P125" i="37" s="1"/>
  <c r="N126" i="37"/>
  <c r="N125" i="37" s="1"/>
  <c r="M126" i="37"/>
  <c r="M125" i="37" s="1"/>
  <c r="L126" i="37"/>
  <c r="K126" i="37"/>
  <c r="K125" i="37" s="1"/>
  <c r="J126" i="37"/>
  <c r="J125" i="37" s="1"/>
  <c r="I126" i="37"/>
  <c r="I125" i="37" s="1"/>
  <c r="Z125" i="37"/>
  <c r="T125" i="37"/>
  <c r="L125" i="37"/>
  <c r="AB124" i="37"/>
  <c r="AB123" i="37" s="1"/>
  <c r="AB122" i="37" s="1"/>
  <c r="AB121" i="37" s="1"/>
  <c r="AA124" i="37"/>
  <c r="Z124" i="37"/>
  <c r="Y124" i="37"/>
  <c r="Y123" i="37" s="1"/>
  <c r="Y122" i="37" s="1"/>
  <c r="Y121" i="37" s="1"/>
  <c r="AA123" i="37"/>
  <c r="AA122" i="37" s="1"/>
  <c r="Z123" i="37"/>
  <c r="X123" i="37"/>
  <c r="X122" i="37" s="1"/>
  <c r="X121" i="37" s="1"/>
  <c r="W123" i="37"/>
  <c r="V123" i="37"/>
  <c r="V122" i="37" s="1"/>
  <c r="V121" i="37" s="1"/>
  <c r="U123" i="37"/>
  <c r="U122" i="37" s="1"/>
  <c r="T123" i="37"/>
  <c r="S123" i="37"/>
  <c r="S122" i="37" s="1"/>
  <c r="S121" i="37" s="1"/>
  <c r="R123" i="37"/>
  <c r="Q123" i="37"/>
  <c r="P123" i="37"/>
  <c r="P122" i="37" s="1"/>
  <c r="P121" i="37" s="1"/>
  <c r="O123" i="37"/>
  <c r="N123" i="37"/>
  <c r="N122" i="37" s="1"/>
  <c r="N121" i="37" s="1"/>
  <c r="M123" i="37"/>
  <c r="M122" i="37" s="1"/>
  <c r="L123" i="37"/>
  <c r="K123" i="37"/>
  <c r="K122" i="37" s="1"/>
  <c r="K121" i="37" s="1"/>
  <c r="K120" i="37" s="1"/>
  <c r="J123" i="37"/>
  <c r="J122" i="37" s="1"/>
  <c r="J121" i="37" s="1"/>
  <c r="J120" i="37" s="1"/>
  <c r="I123" i="37"/>
  <c r="Z122" i="37"/>
  <c r="Z121" i="37" s="1"/>
  <c r="W122" i="37"/>
  <c r="W121" i="37" s="1"/>
  <c r="T122" i="37"/>
  <c r="T121" i="37" s="1"/>
  <c r="T120" i="37" s="1"/>
  <c r="R122" i="37"/>
  <c r="R121" i="37" s="1"/>
  <c r="R120" i="37" s="1"/>
  <c r="Q122" i="37"/>
  <c r="Q121" i="37" s="1"/>
  <c r="Q120" i="37" s="1"/>
  <c r="O122" i="37"/>
  <c r="O121" i="37" s="1"/>
  <c r="L122" i="37"/>
  <c r="L121" i="37" s="1"/>
  <c r="I122" i="37"/>
  <c r="I121" i="37" s="1"/>
  <c r="AA121" i="37"/>
  <c r="U121" i="37"/>
  <c r="M121" i="37"/>
  <c r="Z120" i="37"/>
  <c r="AB119" i="37"/>
  <c r="AB118" i="37" s="1"/>
  <c r="AB117" i="37" s="1"/>
  <c r="AA119" i="37"/>
  <c r="Z119" i="37"/>
  <c r="Z118" i="37" s="1"/>
  <c r="Y119" i="37"/>
  <c r="AA118" i="37"/>
  <c r="AA117" i="37" s="1"/>
  <c r="Y118" i="37"/>
  <c r="Y117" i="37" s="1"/>
  <c r="Y116" i="37" s="1"/>
  <c r="X118" i="37"/>
  <c r="X117" i="37" s="1"/>
  <c r="X116" i="37" s="1"/>
  <c r="W118" i="37"/>
  <c r="V118" i="37"/>
  <c r="V117" i="37" s="1"/>
  <c r="U118" i="37"/>
  <c r="T118" i="37"/>
  <c r="T117" i="37" s="1"/>
  <c r="T116" i="37" s="1"/>
  <c r="S118" i="37"/>
  <c r="S117" i="37" s="1"/>
  <c r="S116" i="37" s="1"/>
  <c r="R118" i="37"/>
  <c r="Q118" i="37"/>
  <c r="Q117" i="37" s="1"/>
  <c r="Q116" i="37" s="1"/>
  <c r="P118" i="37"/>
  <c r="P117" i="37" s="1"/>
  <c r="P116" i="37" s="1"/>
  <c r="O118" i="37"/>
  <c r="N118" i="37"/>
  <c r="N117" i="37" s="1"/>
  <c r="M118" i="37"/>
  <c r="L118" i="37"/>
  <c r="L117" i="37" s="1"/>
  <c r="L116" i="37" s="1"/>
  <c r="K118" i="37"/>
  <c r="K117" i="37" s="1"/>
  <c r="J118" i="37"/>
  <c r="I118" i="37"/>
  <c r="I117" i="37" s="1"/>
  <c r="Z117" i="37"/>
  <c r="Z116" i="37" s="1"/>
  <c r="W117" i="37"/>
  <c r="W116" i="37" s="1"/>
  <c r="U117" i="37"/>
  <c r="U116" i="37" s="1"/>
  <c r="R117" i="37"/>
  <c r="R116" i="37" s="1"/>
  <c r="O117" i="37"/>
  <c r="O116" i="37" s="1"/>
  <c r="M117" i="37"/>
  <c r="M116" i="37" s="1"/>
  <c r="J117" i="37"/>
  <c r="J116" i="37" s="1"/>
  <c r="AB116" i="37"/>
  <c r="AA116" i="37"/>
  <c r="V116" i="37"/>
  <c r="N116" i="37"/>
  <c r="K116" i="37"/>
  <c r="I116" i="37"/>
  <c r="AB115" i="37"/>
  <c r="AB114" i="37" s="1"/>
  <c r="AB113" i="37" s="1"/>
  <c r="AB112" i="37" s="1"/>
  <c r="AA115" i="37"/>
  <c r="Z115" i="37"/>
  <c r="Z114" i="37" s="1"/>
  <c r="Y115" i="37"/>
  <c r="AA114" i="37"/>
  <c r="Y114" i="37"/>
  <c r="Y113" i="37" s="1"/>
  <c r="X114" i="37"/>
  <c r="X113" i="37" s="1"/>
  <c r="X112" i="37" s="1"/>
  <c r="W114" i="37"/>
  <c r="V114" i="37"/>
  <c r="V113" i="37" s="1"/>
  <c r="U114" i="37"/>
  <c r="T114" i="37"/>
  <c r="T113" i="37" s="1"/>
  <c r="T112" i="37" s="1"/>
  <c r="S114" i="37"/>
  <c r="R114" i="37"/>
  <c r="Q114" i="37"/>
  <c r="Q113" i="37" s="1"/>
  <c r="P114" i="37"/>
  <c r="O114" i="37"/>
  <c r="O113" i="37" s="1"/>
  <c r="N114" i="37"/>
  <c r="N113" i="37" s="1"/>
  <c r="M114" i="37"/>
  <c r="L114" i="37"/>
  <c r="K114" i="37"/>
  <c r="J114" i="37"/>
  <c r="I114" i="37"/>
  <c r="I113" i="37" s="1"/>
  <c r="I112" i="37" s="1"/>
  <c r="AA113" i="37"/>
  <c r="AA112" i="37" s="1"/>
  <c r="Z113" i="37"/>
  <c r="Z112" i="37" s="1"/>
  <c r="W113" i="37"/>
  <c r="W112" i="37" s="1"/>
  <c r="U113" i="37"/>
  <c r="U112" i="37" s="1"/>
  <c r="S113" i="37"/>
  <c r="S112" i="37" s="1"/>
  <c r="R113" i="37"/>
  <c r="R112" i="37" s="1"/>
  <c r="P113" i="37"/>
  <c r="P112" i="37" s="1"/>
  <c r="M113" i="37"/>
  <c r="M112" i="37" s="1"/>
  <c r="L113" i="37"/>
  <c r="L112" i="37" s="1"/>
  <c r="K113" i="37"/>
  <c r="J113" i="37"/>
  <c r="Y112" i="37"/>
  <c r="V112" i="37"/>
  <c r="Q112" i="37"/>
  <c r="O112" i="37"/>
  <c r="N112" i="37"/>
  <c r="K112" i="37"/>
  <c r="J112" i="37"/>
  <c r="AB111" i="37"/>
  <c r="AB110" i="37" s="1"/>
  <c r="AB109" i="37" s="1"/>
  <c r="AB108" i="37" s="1"/>
  <c r="AA111" i="37"/>
  <c r="Z111" i="37"/>
  <c r="Z110" i="37" s="1"/>
  <c r="Y111" i="37"/>
  <c r="AA110" i="37"/>
  <c r="AA109" i="37" s="1"/>
  <c r="Y110" i="37"/>
  <c r="Y109" i="37" s="1"/>
  <c r="Y108" i="37" s="1"/>
  <c r="X110" i="37"/>
  <c r="X109" i="37" s="1"/>
  <c r="X108" i="37" s="1"/>
  <c r="W110" i="37"/>
  <c r="V110" i="37"/>
  <c r="V109" i="37" s="1"/>
  <c r="U110" i="37"/>
  <c r="T110" i="37"/>
  <c r="S110" i="37"/>
  <c r="S109" i="37" s="1"/>
  <c r="R110" i="37"/>
  <c r="Q110" i="37"/>
  <c r="Q109" i="37" s="1"/>
  <c r="Q108" i="37" s="1"/>
  <c r="P110" i="37"/>
  <c r="P109" i="37" s="1"/>
  <c r="P108" i="37" s="1"/>
  <c r="O110" i="37"/>
  <c r="N110" i="37"/>
  <c r="N109" i="37" s="1"/>
  <c r="N108" i="37" s="1"/>
  <c r="M110" i="37"/>
  <c r="L110" i="37"/>
  <c r="K110" i="37"/>
  <c r="K109" i="37" s="1"/>
  <c r="J110" i="37"/>
  <c r="I110" i="37"/>
  <c r="I109" i="37" s="1"/>
  <c r="I108" i="37" s="1"/>
  <c r="Z109" i="37"/>
  <c r="Z108" i="37" s="1"/>
  <c r="W109" i="37"/>
  <c r="W108" i="37" s="1"/>
  <c r="U109" i="37"/>
  <c r="U108" i="37" s="1"/>
  <c r="T109" i="37"/>
  <c r="T108" i="37" s="1"/>
  <c r="R109" i="37"/>
  <c r="R108" i="37" s="1"/>
  <c r="O109" i="37"/>
  <c r="O108" i="37" s="1"/>
  <c r="M109" i="37"/>
  <c r="M108" i="37" s="1"/>
  <c r="L109" i="37"/>
  <c r="L108" i="37" s="1"/>
  <c r="J109" i="37"/>
  <c r="J108" i="37" s="1"/>
  <c r="AA108" i="37"/>
  <c r="V108" i="37"/>
  <c r="S108" i="37"/>
  <c r="K108" i="37"/>
  <c r="AB107" i="37"/>
  <c r="AB106" i="37" s="1"/>
  <c r="AB105" i="37" s="1"/>
  <c r="AB104" i="37" s="1"/>
  <c r="AA107" i="37"/>
  <c r="Z107" i="37"/>
  <c r="Z106" i="37" s="1"/>
  <c r="Z105" i="37" s="1"/>
  <c r="Z104" i="37" s="1"/>
  <c r="Y107" i="37"/>
  <c r="AA106" i="37"/>
  <c r="AA105" i="37" s="1"/>
  <c r="AA104" i="37" s="1"/>
  <c r="Y106" i="37"/>
  <c r="Y105" i="37" s="1"/>
  <c r="Y104" i="37" s="1"/>
  <c r="X106" i="37"/>
  <c r="X105" i="37" s="1"/>
  <c r="X104" i="37" s="1"/>
  <c r="W106" i="37"/>
  <c r="V106" i="37"/>
  <c r="V105" i="37" s="1"/>
  <c r="U106" i="37"/>
  <c r="T106" i="37"/>
  <c r="S106" i="37"/>
  <c r="S105" i="37" s="1"/>
  <c r="R106" i="37"/>
  <c r="Q106" i="37"/>
  <c r="Q105" i="37" s="1"/>
  <c r="Q104" i="37" s="1"/>
  <c r="P106" i="37"/>
  <c r="P105" i="37" s="1"/>
  <c r="P104" i="37" s="1"/>
  <c r="O106" i="37"/>
  <c r="N106" i="37"/>
  <c r="N105" i="37" s="1"/>
  <c r="M106" i="37"/>
  <c r="L106" i="37"/>
  <c r="K106" i="37"/>
  <c r="K105" i="37" s="1"/>
  <c r="J106" i="37"/>
  <c r="I106" i="37"/>
  <c r="I105" i="37" s="1"/>
  <c r="I104" i="37" s="1"/>
  <c r="W105" i="37"/>
  <c r="W104" i="37" s="1"/>
  <c r="U105" i="37"/>
  <c r="U104" i="37" s="1"/>
  <c r="T105" i="37"/>
  <c r="T104" i="37" s="1"/>
  <c r="R105" i="37"/>
  <c r="R104" i="37" s="1"/>
  <c r="O105" i="37"/>
  <c r="O104" i="37" s="1"/>
  <c r="M105" i="37"/>
  <c r="M104" i="37" s="1"/>
  <c r="L105" i="37"/>
  <c r="L104" i="37" s="1"/>
  <c r="J105" i="37"/>
  <c r="J104" i="37" s="1"/>
  <c r="V104" i="37"/>
  <c r="S104" i="37"/>
  <c r="N104" i="37"/>
  <c r="K104" i="37"/>
  <c r="AB103" i="37"/>
  <c r="AB102" i="37" s="1"/>
  <c r="AB101" i="37" s="1"/>
  <c r="AB100" i="37" s="1"/>
  <c r="AA103" i="37"/>
  <c r="Z103" i="37"/>
  <c r="Z102" i="37" s="1"/>
  <c r="Y103" i="37"/>
  <c r="AA102" i="37"/>
  <c r="AA101" i="37" s="1"/>
  <c r="Y102" i="37"/>
  <c r="Y101" i="37" s="1"/>
  <c r="Y100" i="37" s="1"/>
  <c r="X102" i="37"/>
  <c r="X101" i="37" s="1"/>
  <c r="X100" i="37" s="1"/>
  <c r="W102" i="37"/>
  <c r="V102" i="37"/>
  <c r="V101" i="37" s="1"/>
  <c r="U102" i="37"/>
  <c r="T102" i="37"/>
  <c r="S102" i="37"/>
  <c r="S101" i="37" s="1"/>
  <c r="R102" i="37"/>
  <c r="Q102" i="37"/>
  <c r="Q101" i="37" s="1"/>
  <c r="Q100" i="37" s="1"/>
  <c r="P102" i="37"/>
  <c r="P101" i="37" s="1"/>
  <c r="P100" i="37" s="1"/>
  <c r="O102" i="37"/>
  <c r="N102" i="37"/>
  <c r="N101" i="37" s="1"/>
  <c r="N100" i="37" s="1"/>
  <c r="M102" i="37"/>
  <c r="L102" i="37"/>
  <c r="K102" i="37"/>
  <c r="K101" i="37" s="1"/>
  <c r="K100" i="37" s="1"/>
  <c r="J102" i="37"/>
  <c r="I102" i="37"/>
  <c r="I101" i="37" s="1"/>
  <c r="I100" i="37" s="1"/>
  <c r="Z101" i="37"/>
  <c r="Z100" i="37" s="1"/>
  <c r="W101" i="37"/>
  <c r="W100" i="37" s="1"/>
  <c r="U101" i="37"/>
  <c r="U100" i="37" s="1"/>
  <c r="T101" i="37"/>
  <c r="T100" i="37" s="1"/>
  <c r="R101" i="37"/>
  <c r="R100" i="37" s="1"/>
  <c r="O101" i="37"/>
  <c r="O100" i="37" s="1"/>
  <c r="M101" i="37"/>
  <c r="M100" i="37" s="1"/>
  <c r="L101" i="37"/>
  <c r="L100" i="37" s="1"/>
  <c r="J101" i="37"/>
  <c r="J100" i="37" s="1"/>
  <c r="AA100" i="37"/>
  <c r="V100" i="37"/>
  <c r="S100" i="37"/>
  <c r="AB99" i="37"/>
  <c r="AB98" i="37" s="1"/>
  <c r="AB97" i="37" s="1"/>
  <c r="AB96" i="37" s="1"/>
  <c r="AA99" i="37"/>
  <c r="Z99" i="37"/>
  <c r="Z98" i="37" s="1"/>
  <c r="Z97" i="37" s="1"/>
  <c r="Z96" i="37" s="1"/>
  <c r="Y99" i="37"/>
  <c r="AA98" i="37"/>
  <c r="AA97" i="37" s="1"/>
  <c r="AA96" i="37" s="1"/>
  <c r="Y98" i="37"/>
  <c r="Y97" i="37" s="1"/>
  <c r="Y96" i="37" s="1"/>
  <c r="X98" i="37"/>
  <c r="X97" i="37" s="1"/>
  <c r="X96" i="37" s="1"/>
  <c r="W98" i="37"/>
  <c r="V98" i="37"/>
  <c r="V97" i="37" s="1"/>
  <c r="U98" i="37"/>
  <c r="T98" i="37"/>
  <c r="S98" i="37"/>
  <c r="S97" i="37" s="1"/>
  <c r="S96" i="37" s="1"/>
  <c r="R98" i="37"/>
  <c r="Q98" i="37"/>
  <c r="Q97" i="37" s="1"/>
  <c r="Q96" i="37" s="1"/>
  <c r="P98" i="37"/>
  <c r="P97" i="37" s="1"/>
  <c r="P96" i="37" s="1"/>
  <c r="O98" i="37"/>
  <c r="N98" i="37"/>
  <c r="N97" i="37" s="1"/>
  <c r="N96" i="37" s="1"/>
  <c r="M98" i="37"/>
  <c r="L98" i="37"/>
  <c r="K98" i="37"/>
  <c r="K97" i="37" s="1"/>
  <c r="K96" i="37" s="1"/>
  <c r="J98" i="37"/>
  <c r="I98" i="37"/>
  <c r="I97" i="37" s="1"/>
  <c r="I96" i="37" s="1"/>
  <c r="W97" i="37"/>
  <c r="U97" i="37"/>
  <c r="U96" i="37" s="1"/>
  <c r="T97" i="37"/>
  <c r="T96" i="37" s="1"/>
  <c r="R97" i="37"/>
  <c r="R96" i="37" s="1"/>
  <c r="O97" i="37"/>
  <c r="M97" i="37"/>
  <c r="M96" i="37" s="1"/>
  <c r="L97" i="37"/>
  <c r="L96" i="37" s="1"/>
  <c r="J97" i="37"/>
  <c r="J96" i="37" s="1"/>
  <c r="W96" i="37"/>
  <c r="W91" i="37" s="1"/>
  <c r="V96" i="37"/>
  <c r="O96" i="37"/>
  <c r="AB95" i="37"/>
  <c r="AA95" i="37"/>
  <c r="Z95" i="37"/>
  <c r="Z94" i="37" s="1"/>
  <c r="Z93" i="37" s="1"/>
  <c r="Z92" i="37" s="1"/>
  <c r="Y95" i="37"/>
  <c r="Y94" i="37"/>
  <c r="Y93" i="37" s="1"/>
  <c r="Y92" i="37" s="1"/>
  <c r="X94" i="37"/>
  <c r="W94" i="37"/>
  <c r="V94" i="37"/>
  <c r="V93" i="37" s="1"/>
  <c r="V92" i="37" s="1"/>
  <c r="U94" i="37"/>
  <c r="U93" i="37" s="1"/>
  <c r="U92" i="37" s="1"/>
  <c r="T94" i="37"/>
  <c r="T93" i="37" s="1"/>
  <c r="T92" i="37" s="1"/>
  <c r="S94" i="37"/>
  <c r="R94" i="37"/>
  <c r="R93" i="37" s="1"/>
  <c r="R92" i="37" s="1"/>
  <c r="Q94" i="37"/>
  <c r="Q93" i="37" s="1"/>
  <c r="Q92" i="37" s="1"/>
  <c r="P94" i="37"/>
  <c r="O94" i="37"/>
  <c r="O93" i="37" s="1"/>
  <c r="N94" i="37"/>
  <c r="N93" i="37" s="1"/>
  <c r="N92" i="37" s="1"/>
  <c r="M94" i="37"/>
  <c r="M93" i="37" s="1"/>
  <c r="M92" i="37" s="1"/>
  <c r="L94" i="37"/>
  <c r="K94" i="37"/>
  <c r="J94" i="37"/>
  <c r="J93" i="37" s="1"/>
  <c r="J92" i="37" s="1"/>
  <c r="I94" i="37"/>
  <c r="I93" i="37" s="1"/>
  <c r="I92" i="37" s="1"/>
  <c r="X93" i="37"/>
  <c r="W93" i="37"/>
  <c r="S93" i="37"/>
  <c r="S92" i="37" s="1"/>
  <c r="P93" i="37"/>
  <c r="P92" i="37" s="1"/>
  <c r="P91" i="37" s="1"/>
  <c r="K93" i="37"/>
  <c r="K92" i="37" s="1"/>
  <c r="X92" i="37"/>
  <c r="X91" i="37" s="1"/>
  <c r="W92" i="37"/>
  <c r="O92" i="37"/>
  <c r="AB90" i="37"/>
  <c r="AA90" i="37"/>
  <c r="Z90" i="37"/>
  <c r="Y90" i="37"/>
  <c r="Y89" i="37" s="1"/>
  <c r="Y88" i="37" s="1"/>
  <c r="Y87" i="37" s="1"/>
  <c r="Z89" i="37"/>
  <c r="X89" i="37"/>
  <c r="X88" i="37" s="1"/>
  <c r="X87" i="37" s="1"/>
  <c r="W89" i="37"/>
  <c r="W88" i="37" s="1"/>
  <c r="W87" i="37" s="1"/>
  <c r="V89" i="37"/>
  <c r="U89" i="37"/>
  <c r="T89" i="37"/>
  <c r="T88" i="37" s="1"/>
  <c r="T87" i="37" s="1"/>
  <c r="S89" i="37"/>
  <c r="S88" i="37" s="1"/>
  <c r="S87" i="37" s="1"/>
  <c r="R89" i="37"/>
  <c r="R88" i="37" s="1"/>
  <c r="R87" i="37" s="1"/>
  <c r="Q89" i="37"/>
  <c r="P89" i="37"/>
  <c r="P88" i="37" s="1"/>
  <c r="P87" i="37" s="1"/>
  <c r="O89" i="37"/>
  <c r="O88" i="37" s="1"/>
  <c r="O87" i="37" s="1"/>
  <c r="N89" i="37"/>
  <c r="N88" i="37" s="1"/>
  <c r="N87" i="37" s="1"/>
  <c r="M89" i="37"/>
  <c r="L89" i="37"/>
  <c r="L88" i="37" s="1"/>
  <c r="L87" i="37" s="1"/>
  <c r="K89" i="37"/>
  <c r="K88" i="37" s="1"/>
  <c r="K87" i="37" s="1"/>
  <c r="J89" i="37"/>
  <c r="I89" i="37"/>
  <c r="Z88" i="37"/>
  <c r="V88" i="37"/>
  <c r="V87" i="37" s="1"/>
  <c r="U88" i="37"/>
  <c r="U87" i="37" s="1"/>
  <c r="Q88" i="37"/>
  <c r="Q87" i="37" s="1"/>
  <c r="M88" i="37"/>
  <c r="J88" i="37"/>
  <c r="I88" i="37"/>
  <c r="I87" i="37" s="1"/>
  <c r="Z87" i="37"/>
  <c r="M87" i="37"/>
  <c r="J87" i="37"/>
  <c r="AB86" i="37"/>
  <c r="AA86" i="37"/>
  <c r="AA85" i="37" s="1"/>
  <c r="AA84" i="37" s="1"/>
  <c r="AA83" i="37" s="1"/>
  <c r="Z86" i="37"/>
  <c r="Y86" i="37"/>
  <c r="Y85" i="37" s="1"/>
  <c r="Y84" i="37" s="1"/>
  <c r="Y83" i="37" s="1"/>
  <c r="AB85" i="37"/>
  <c r="AB84" i="37" s="1"/>
  <c r="AB83" i="37" s="1"/>
  <c r="Z85" i="37"/>
  <c r="Z84" i="37" s="1"/>
  <c r="Z83" i="37" s="1"/>
  <c r="X85" i="37"/>
  <c r="W85" i="37"/>
  <c r="V85" i="37"/>
  <c r="U85" i="37"/>
  <c r="U84" i="37" s="1"/>
  <c r="U83" i="37" s="1"/>
  <c r="T85" i="37"/>
  <c r="T84" i="37" s="1"/>
  <c r="T83" i="37" s="1"/>
  <c r="S85" i="37"/>
  <c r="R85" i="37"/>
  <c r="R84" i="37" s="1"/>
  <c r="R83" i="37" s="1"/>
  <c r="Q85" i="37"/>
  <c r="P85" i="37"/>
  <c r="O85" i="37"/>
  <c r="O84" i="37" s="1"/>
  <c r="O83" i="37" s="1"/>
  <c r="N85" i="37"/>
  <c r="M85" i="37"/>
  <c r="M84" i="37" s="1"/>
  <c r="M83" i="37" s="1"/>
  <c r="L85" i="37"/>
  <c r="L84" i="37" s="1"/>
  <c r="L83" i="37" s="1"/>
  <c r="K85" i="37"/>
  <c r="J85" i="37"/>
  <c r="J84" i="37" s="1"/>
  <c r="I85" i="37"/>
  <c r="X84" i="37"/>
  <c r="X83" i="37" s="1"/>
  <c r="W84" i="37"/>
  <c r="W83" i="37" s="1"/>
  <c r="V84" i="37"/>
  <c r="V83" i="37" s="1"/>
  <c r="S84" i="37"/>
  <c r="Q84" i="37"/>
  <c r="Q83" i="37" s="1"/>
  <c r="P84" i="37"/>
  <c r="P83" i="37" s="1"/>
  <c r="N84" i="37"/>
  <c r="N83" i="37" s="1"/>
  <c r="K84" i="37"/>
  <c r="K83" i="37" s="1"/>
  <c r="I84" i="37"/>
  <c r="I83" i="37" s="1"/>
  <c r="I74" i="37" s="1"/>
  <c r="S83" i="37"/>
  <c r="J83" i="37"/>
  <c r="AB82" i="37"/>
  <c r="AA82" i="37"/>
  <c r="AA81" i="37" s="1"/>
  <c r="AA80" i="37" s="1"/>
  <c r="AA79" i="37" s="1"/>
  <c r="Z82" i="37"/>
  <c r="Y82" i="37"/>
  <c r="Y81" i="37" s="1"/>
  <c r="Y80" i="37" s="1"/>
  <c r="Y79" i="37" s="1"/>
  <c r="AB81" i="37"/>
  <c r="AB80" i="37" s="1"/>
  <c r="AB79" i="37" s="1"/>
  <c r="Z81" i="37"/>
  <c r="Z80" i="37" s="1"/>
  <c r="Z79" i="37" s="1"/>
  <c r="X81" i="37"/>
  <c r="W81" i="37"/>
  <c r="V81" i="37"/>
  <c r="U81" i="37"/>
  <c r="U80" i="37" s="1"/>
  <c r="U79" i="37" s="1"/>
  <c r="T81" i="37"/>
  <c r="T80" i="37" s="1"/>
  <c r="T79" i="37" s="1"/>
  <c r="S81" i="37"/>
  <c r="R81" i="37"/>
  <c r="R80" i="37" s="1"/>
  <c r="Q81" i="37"/>
  <c r="P81" i="37"/>
  <c r="O81" i="37"/>
  <c r="N81" i="37"/>
  <c r="M81" i="37"/>
  <c r="M80" i="37" s="1"/>
  <c r="M79" i="37" s="1"/>
  <c r="L81" i="37"/>
  <c r="L80" i="37" s="1"/>
  <c r="L79" i="37" s="1"/>
  <c r="K81" i="37"/>
  <c r="K80" i="37" s="1"/>
  <c r="K79" i="37" s="1"/>
  <c r="J81" i="37"/>
  <c r="J80" i="37" s="1"/>
  <c r="I81" i="37"/>
  <c r="X80" i="37"/>
  <c r="X79" i="37" s="1"/>
  <c r="W80" i="37"/>
  <c r="V80" i="37"/>
  <c r="V79" i="37" s="1"/>
  <c r="S80" i="37"/>
  <c r="S79" i="37" s="1"/>
  <c r="S74" i="37" s="1"/>
  <c r="Q80" i="37"/>
  <c r="Q79" i="37" s="1"/>
  <c r="P80" i="37"/>
  <c r="P79" i="37" s="1"/>
  <c r="O80" i="37"/>
  <c r="N80" i="37"/>
  <c r="N79" i="37" s="1"/>
  <c r="I80" i="37"/>
  <c r="W79" i="37"/>
  <c r="R79" i="37"/>
  <c r="O79" i="37"/>
  <c r="J79" i="37"/>
  <c r="AB78" i="37"/>
  <c r="AA78" i="37"/>
  <c r="Z78" i="37"/>
  <c r="Z77" i="37" s="1"/>
  <c r="Z76" i="37" s="1"/>
  <c r="Z75" i="37" s="1"/>
  <c r="Y78" i="37"/>
  <c r="AB77" i="37"/>
  <c r="AB76" i="37" s="1"/>
  <c r="AB75" i="37" s="1"/>
  <c r="AA77" i="37"/>
  <c r="AA76" i="37" s="1"/>
  <c r="AA75" i="37" s="1"/>
  <c r="Y77" i="37"/>
  <c r="Y76" i="37" s="1"/>
  <c r="X77" i="37"/>
  <c r="W77" i="37"/>
  <c r="V77" i="37"/>
  <c r="V76" i="37" s="1"/>
  <c r="V75" i="37" s="1"/>
  <c r="V74" i="37" s="1"/>
  <c r="U77" i="37"/>
  <c r="T77" i="37"/>
  <c r="T76" i="37" s="1"/>
  <c r="T75" i="37" s="1"/>
  <c r="T74" i="37" s="1"/>
  <c r="S77" i="37"/>
  <c r="S76" i="37" s="1"/>
  <c r="S75" i="37" s="1"/>
  <c r="R77" i="37"/>
  <c r="Q77" i="37"/>
  <c r="Q76" i="37" s="1"/>
  <c r="P77" i="37"/>
  <c r="O77" i="37"/>
  <c r="N77" i="37"/>
  <c r="N76" i="37" s="1"/>
  <c r="N75" i="37" s="1"/>
  <c r="N74" i="37" s="1"/>
  <c r="M77" i="37"/>
  <c r="L77" i="37"/>
  <c r="L76" i="37" s="1"/>
  <c r="L75" i="37" s="1"/>
  <c r="L74" i="37" s="1"/>
  <c r="K77" i="37"/>
  <c r="K76" i="37" s="1"/>
  <c r="K75" i="37" s="1"/>
  <c r="J77" i="37"/>
  <c r="I77" i="37"/>
  <c r="I76" i="37" s="1"/>
  <c r="X76" i="37"/>
  <c r="X75" i="37" s="1"/>
  <c r="W76" i="37"/>
  <c r="W75" i="37" s="1"/>
  <c r="U76" i="37"/>
  <c r="U75" i="37" s="1"/>
  <c r="R76" i="37"/>
  <c r="R75" i="37" s="1"/>
  <c r="P76" i="37"/>
  <c r="P75" i="37" s="1"/>
  <c r="O76" i="37"/>
  <c r="O75" i="37" s="1"/>
  <c r="M76" i="37"/>
  <c r="M75" i="37" s="1"/>
  <c r="J76" i="37"/>
  <c r="Y75" i="37"/>
  <c r="Q75" i="37"/>
  <c r="J75" i="37"/>
  <c r="AB73" i="37"/>
  <c r="AA73" i="37"/>
  <c r="AA72" i="37" s="1"/>
  <c r="AA71" i="37" s="1"/>
  <c r="AA70" i="37" s="1"/>
  <c r="Z73" i="37"/>
  <c r="Z72" i="37" s="1"/>
  <c r="Z71" i="37" s="1"/>
  <c r="Z70" i="37" s="1"/>
  <c r="Y73" i="37"/>
  <c r="AB72" i="37"/>
  <c r="AB71" i="37" s="1"/>
  <c r="Y72" i="37"/>
  <c r="Y71" i="37" s="1"/>
  <c r="Y70" i="37" s="1"/>
  <c r="X72" i="37"/>
  <c r="W72" i="37"/>
  <c r="W71" i="37" s="1"/>
  <c r="W70" i="37" s="1"/>
  <c r="V72" i="37"/>
  <c r="V71" i="37" s="1"/>
  <c r="V70" i="37" s="1"/>
  <c r="U72" i="37"/>
  <c r="T72" i="37"/>
  <c r="T71" i="37" s="1"/>
  <c r="T70" i="37" s="1"/>
  <c r="S72" i="37"/>
  <c r="R72" i="37"/>
  <c r="Q72" i="37"/>
  <c r="Q71" i="37" s="1"/>
  <c r="Q70" i="37" s="1"/>
  <c r="P72" i="37"/>
  <c r="O72" i="37"/>
  <c r="O71" i="37" s="1"/>
  <c r="O70" i="37" s="1"/>
  <c r="N72" i="37"/>
  <c r="N71" i="37" s="1"/>
  <c r="N70" i="37" s="1"/>
  <c r="M72" i="37"/>
  <c r="M71" i="37" s="1"/>
  <c r="M70" i="37" s="1"/>
  <c r="L72" i="37"/>
  <c r="L71" i="37" s="1"/>
  <c r="L70" i="37" s="1"/>
  <c r="K72" i="37"/>
  <c r="J72" i="37"/>
  <c r="I72" i="37"/>
  <c r="X71" i="37"/>
  <c r="X70" i="37" s="1"/>
  <c r="U71" i="37"/>
  <c r="U70" i="37" s="1"/>
  <c r="S71" i="37"/>
  <c r="S70" i="37" s="1"/>
  <c r="R71" i="37"/>
  <c r="R70" i="37" s="1"/>
  <c r="P71" i="37"/>
  <c r="P70" i="37" s="1"/>
  <c r="K71" i="37"/>
  <c r="K70" i="37" s="1"/>
  <c r="J71" i="37"/>
  <c r="J70" i="37" s="1"/>
  <c r="I71" i="37"/>
  <c r="AB70" i="37"/>
  <c r="I70" i="37"/>
  <c r="AB69" i="37"/>
  <c r="AA69" i="37"/>
  <c r="AA68" i="37" s="1"/>
  <c r="AA67" i="37" s="1"/>
  <c r="AA66" i="37" s="1"/>
  <c r="Z69" i="37"/>
  <c r="Z68" i="37" s="1"/>
  <c r="Y69" i="37"/>
  <c r="AB68" i="37"/>
  <c r="AB67" i="37" s="1"/>
  <c r="AB66" i="37" s="1"/>
  <c r="Y68" i="37"/>
  <c r="X68" i="37"/>
  <c r="W68" i="37"/>
  <c r="W67" i="37" s="1"/>
  <c r="W66" i="37" s="1"/>
  <c r="V68" i="37"/>
  <c r="V67" i="37" s="1"/>
  <c r="V66" i="37" s="1"/>
  <c r="U68" i="37"/>
  <c r="T68" i="37"/>
  <c r="T67" i="37" s="1"/>
  <c r="S68" i="37"/>
  <c r="R68" i="37"/>
  <c r="Q68" i="37"/>
  <c r="P68" i="37"/>
  <c r="O68" i="37"/>
  <c r="O67" i="37" s="1"/>
  <c r="O66" i="37" s="1"/>
  <c r="N68" i="37"/>
  <c r="N67" i="37" s="1"/>
  <c r="N66" i="37" s="1"/>
  <c r="M68" i="37"/>
  <c r="L68" i="37"/>
  <c r="L67" i="37" s="1"/>
  <c r="K68" i="37"/>
  <c r="J68" i="37"/>
  <c r="I68" i="37"/>
  <c r="I67" i="37" s="1"/>
  <c r="I66" i="37" s="1"/>
  <c r="Z67" i="37"/>
  <c r="Z66" i="37" s="1"/>
  <c r="Y67" i="37"/>
  <c r="Y66" i="37" s="1"/>
  <c r="X67" i="37"/>
  <c r="X66" i="37" s="1"/>
  <c r="U67" i="37"/>
  <c r="S67" i="37"/>
  <c r="S66" i="37" s="1"/>
  <c r="R67" i="37"/>
  <c r="R66" i="37" s="1"/>
  <c r="Q67" i="37"/>
  <c r="Q66" i="37" s="1"/>
  <c r="P67" i="37"/>
  <c r="P66" i="37" s="1"/>
  <c r="M67" i="37"/>
  <c r="M66" i="37" s="1"/>
  <c r="K67" i="37"/>
  <c r="K66" i="37" s="1"/>
  <c r="J67" i="37"/>
  <c r="J66" i="37" s="1"/>
  <c r="U66" i="37"/>
  <c r="T66" i="37"/>
  <c r="L66" i="37"/>
  <c r="AB65" i="37"/>
  <c r="AB64" i="37" s="1"/>
  <c r="AB63" i="37" s="1"/>
  <c r="AB62" i="37" s="1"/>
  <c r="AB61" i="37" s="1"/>
  <c r="AA65" i="37"/>
  <c r="AA64" i="37" s="1"/>
  <c r="AA63" i="37" s="1"/>
  <c r="AA62" i="37" s="1"/>
  <c r="AA61" i="37" s="1"/>
  <c r="Z65" i="37"/>
  <c r="Z64" i="37" s="1"/>
  <c r="Y65" i="37"/>
  <c r="Y64" i="37"/>
  <c r="X64" i="37"/>
  <c r="X63" i="37" s="1"/>
  <c r="W64" i="37"/>
  <c r="W63" i="37" s="1"/>
  <c r="V64" i="37"/>
  <c r="V63" i="37" s="1"/>
  <c r="V62" i="37" s="1"/>
  <c r="V61" i="37" s="1"/>
  <c r="U64" i="37"/>
  <c r="U63" i="37" s="1"/>
  <c r="U62" i="37" s="1"/>
  <c r="U61" i="37" s="1"/>
  <c r="T64" i="37"/>
  <c r="T63" i="37" s="1"/>
  <c r="T62" i="37" s="1"/>
  <c r="S64" i="37"/>
  <c r="R64" i="37"/>
  <c r="Q64" i="37"/>
  <c r="Q63" i="37" s="1"/>
  <c r="Q62" i="37" s="1"/>
  <c r="P64" i="37"/>
  <c r="O64" i="37"/>
  <c r="O63" i="37" s="1"/>
  <c r="N64" i="37"/>
  <c r="N63" i="37" s="1"/>
  <c r="N62" i="37" s="1"/>
  <c r="N61" i="37" s="1"/>
  <c r="M64" i="37"/>
  <c r="M63" i="37" s="1"/>
  <c r="M62" i="37" s="1"/>
  <c r="M61" i="37" s="1"/>
  <c r="L64" i="37"/>
  <c r="K64" i="37"/>
  <c r="J64" i="37"/>
  <c r="I64" i="37"/>
  <c r="Z63" i="37"/>
  <c r="Z62" i="37" s="1"/>
  <c r="Y63" i="37"/>
  <c r="Y62" i="37" s="1"/>
  <c r="Y61" i="37" s="1"/>
  <c r="S63" i="37"/>
  <c r="S62" i="37" s="1"/>
  <c r="S61" i="37" s="1"/>
  <c r="R63" i="37"/>
  <c r="R62" i="37" s="1"/>
  <c r="R61" i="37" s="1"/>
  <c r="P63" i="37"/>
  <c r="P62" i="37" s="1"/>
  <c r="P61" i="37" s="1"/>
  <c r="L63" i="37"/>
  <c r="K63" i="37"/>
  <c r="K62" i="37" s="1"/>
  <c r="J63" i="37"/>
  <c r="J62" i="37" s="1"/>
  <c r="I63" i="37"/>
  <c r="I62" i="37" s="1"/>
  <c r="I61" i="37" s="1"/>
  <c r="X62" i="37"/>
  <c r="X61" i="37" s="1"/>
  <c r="W62" i="37"/>
  <c r="W61" i="37" s="1"/>
  <c r="O62" i="37"/>
  <c r="L62" i="37"/>
  <c r="L61" i="37"/>
  <c r="K61" i="37"/>
  <c r="J61" i="37"/>
  <c r="AB60" i="37"/>
  <c r="AA60" i="37"/>
  <c r="Z60" i="37"/>
  <c r="Z59" i="37" s="1"/>
  <c r="Z58" i="37" s="1"/>
  <c r="Z57" i="37" s="1"/>
  <c r="Y60" i="37"/>
  <c r="AB59" i="37"/>
  <c r="AB58" i="37" s="1"/>
  <c r="AB57" i="37" s="1"/>
  <c r="AA59" i="37"/>
  <c r="AA58" i="37" s="1"/>
  <c r="AA57" i="37" s="1"/>
  <c r="Y59" i="37"/>
  <c r="Y58" i="37" s="1"/>
  <c r="Y57" i="37" s="1"/>
  <c r="X59" i="37"/>
  <c r="W59" i="37"/>
  <c r="V59" i="37"/>
  <c r="V58" i="37" s="1"/>
  <c r="V57" i="37" s="1"/>
  <c r="U59" i="37"/>
  <c r="T59" i="37"/>
  <c r="T58" i="37" s="1"/>
  <c r="S59" i="37"/>
  <c r="S58" i="37" s="1"/>
  <c r="S57" i="37" s="1"/>
  <c r="R59" i="37"/>
  <c r="Q59" i="37"/>
  <c r="Q58" i="37" s="1"/>
  <c r="Q57" i="37" s="1"/>
  <c r="P59" i="37"/>
  <c r="O59" i="37"/>
  <c r="N59" i="37"/>
  <c r="N58" i="37" s="1"/>
  <c r="N57" i="37" s="1"/>
  <c r="M59" i="37"/>
  <c r="L59" i="37"/>
  <c r="L58" i="37" s="1"/>
  <c r="K59" i="37"/>
  <c r="K58" i="37" s="1"/>
  <c r="J59" i="37"/>
  <c r="I59" i="37"/>
  <c r="I58" i="37" s="1"/>
  <c r="I57" i="37" s="1"/>
  <c r="X58" i="37"/>
  <c r="X57" i="37" s="1"/>
  <c r="W58" i="37"/>
  <c r="W57" i="37" s="1"/>
  <c r="U58" i="37"/>
  <c r="U57" i="37" s="1"/>
  <c r="R58" i="37"/>
  <c r="R57" i="37" s="1"/>
  <c r="P58" i="37"/>
  <c r="P57" i="37" s="1"/>
  <c r="O58" i="37"/>
  <c r="O57" i="37" s="1"/>
  <c r="M58" i="37"/>
  <c r="M57" i="37" s="1"/>
  <c r="J58" i="37"/>
  <c r="J57" i="37" s="1"/>
  <c r="T57" i="37"/>
  <c r="L57" i="37"/>
  <c r="K57" i="37"/>
  <c r="AB56" i="37"/>
  <c r="AA56" i="37"/>
  <c r="Z56" i="37"/>
  <c r="Z55" i="37" s="1"/>
  <c r="Z54" i="37" s="1"/>
  <c r="Z53" i="37" s="1"/>
  <c r="Y56" i="37"/>
  <c r="AB55" i="37"/>
  <c r="AB54" i="37" s="1"/>
  <c r="AA55" i="37"/>
  <c r="AA54" i="37" s="1"/>
  <c r="Y55" i="37"/>
  <c r="Y54" i="37" s="1"/>
  <c r="Y53" i="37" s="1"/>
  <c r="X55" i="37"/>
  <c r="W55" i="37"/>
  <c r="V55" i="37"/>
  <c r="V54" i="37" s="1"/>
  <c r="V53" i="37" s="1"/>
  <c r="U55" i="37"/>
  <c r="T55" i="37"/>
  <c r="T54" i="37" s="1"/>
  <c r="S55" i="37"/>
  <c r="S54" i="37" s="1"/>
  <c r="R55" i="37"/>
  <c r="Q55" i="37"/>
  <c r="Q54" i="37" s="1"/>
  <c r="Q53" i="37" s="1"/>
  <c r="P55" i="37"/>
  <c r="O55" i="37"/>
  <c r="N55" i="37"/>
  <c r="N54" i="37" s="1"/>
  <c r="N53" i="37" s="1"/>
  <c r="M55" i="37"/>
  <c r="L55" i="37"/>
  <c r="L54" i="37" s="1"/>
  <c r="K55" i="37"/>
  <c r="K54" i="37" s="1"/>
  <c r="J55" i="37"/>
  <c r="I55" i="37"/>
  <c r="I54" i="37" s="1"/>
  <c r="I53" i="37" s="1"/>
  <c r="X54" i="37"/>
  <c r="X53" i="37" s="1"/>
  <c r="X48" i="37" s="1"/>
  <c r="W54" i="37"/>
  <c r="W53" i="37" s="1"/>
  <c r="U54" i="37"/>
  <c r="U53" i="37" s="1"/>
  <c r="R54" i="37"/>
  <c r="R53" i="37" s="1"/>
  <c r="P54" i="37"/>
  <c r="P53" i="37" s="1"/>
  <c r="O54" i="37"/>
  <c r="O53" i="37" s="1"/>
  <c r="M54" i="37"/>
  <c r="M53" i="37" s="1"/>
  <c r="J54" i="37"/>
  <c r="J53" i="37" s="1"/>
  <c r="AB53" i="37"/>
  <c r="AA53" i="37"/>
  <c r="T53" i="37"/>
  <c r="S53" i="37"/>
  <c r="L53" i="37"/>
  <c r="K53" i="37"/>
  <c r="AB52" i="37"/>
  <c r="AA52" i="37"/>
  <c r="Z52" i="37"/>
  <c r="Z51" i="37" s="1"/>
  <c r="Z50" i="37" s="1"/>
  <c r="Z49" i="37" s="1"/>
  <c r="Z48" i="37" s="1"/>
  <c r="Y52" i="37"/>
  <c r="AB51" i="37"/>
  <c r="AB50" i="37" s="1"/>
  <c r="AB49" i="37" s="1"/>
  <c r="AB48" i="37" s="1"/>
  <c r="AA51" i="37"/>
  <c r="AA50" i="37" s="1"/>
  <c r="Y51" i="37"/>
  <c r="Y50" i="37" s="1"/>
  <c r="Y49" i="37" s="1"/>
  <c r="X51" i="37"/>
  <c r="W51" i="37"/>
  <c r="V51" i="37"/>
  <c r="V50" i="37" s="1"/>
  <c r="V49" i="37" s="1"/>
  <c r="U51" i="37"/>
  <c r="T51" i="37"/>
  <c r="T50" i="37" s="1"/>
  <c r="T49" i="37" s="1"/>
  <c r="T48" i="37" s="1"/>
  <c r="S51" i="37"/>
  <c r="S50" i="37" s="1"/>
  <c r="S49" i="37" s="1"/>
  <c r="S48" i="37" s="1"/>
  <c r="R51" i="37"/>
  <c r="Q51" i="37"/>
  <c r="Q50" i="37" s="1"/>
  <c r="Q49" i="37" s="1"/>
  <c r="P51" i="37"/>
  <c r="O51" i="37"/>
  <c r="N51" i="37"/>
  <c r="N50" i="37" s="1"/>
  <c r="N49" i="37" s="1"/>
  <c r="M51" i="37"/>
  <c r="L51" i="37"/>
  <c r="L50" i="37" s="1"/>
  <c r="L49" i="37" s="1"/>
  <c r="L48" i="37" s="1"/>
  <c r="K51" i="37"/>
  <c r="K50" i="37" s="1"/>
  <c r="J51" i="37"/>
  <c r="I51" i="37"/>
  <c r="I50" i="37" s="1"/>
  <c r="I49" i="37" s="1"/>
  <c r="X50" i="37"/>
  <c r="X49" i="37" s="1"/>
  <c r="W50" i="37"/>
  <c r="W49" i="37" s="1"/>
  <c r="W48" i="37" s="1"/>
  <c r="U50" i="37"/>
  <c r="U49" i="37" s="1"/>
  <c r="R50" i="37"/>
  <c r="R49" i="37" s="1"/>
  <c r="R48" i="37" s="1"/>
  <c r="P50" i="37"/>
  <c r="P49" i="37" s="1"/>
  <c r="P48" i="37" s="1"/>
  <c r="O50" i="37"/>
  <c r="O49" i="37" s="1"/>
  <c r="O48" i="37" s="1"/>
  <c r="M50" i="37"/>
  <c r="M49" i="37" s="1"/>
  <c r="J50" i="37"/>
  <c r="J49" i="37" s="1"/>
  <c r="AA49" i="37"/>
  <c r="K49" i="37"/>
  <c r="K48" i="37" s="1"/>
  <c r="AB46" i="37"/>
  <c r="AA46" i="37"/>
  <c r="Z46" i="37"/>
  <c r="Y46" i="37"/>
  <c r="AB45" i="37"/>
  <c r="AA45" i="37"/>
  <c r="Z45" i="37"/>
  <c r="Y45" i="37"/>
  <c r="AB44" i="37"/>
  <c r="AA44" i="37"/>
  <c r="Z44" i="37"/>
  <c r="Y44" i="37"/>
  <c r="AB43" i="37"/>
  <c r="AA43" i="37"/>
  <c r="Z43" i="37"/>
  <c r="Y43" i="37"/>
  <c r="X42" i="37"/>
  <c r="X37" i="37" s="1"/>
  <c r="W42" i="37"/>
  <c r="W37" i="37" s="1"/>
  <c r="V42" i="37"/>
  <c r="V37" i="37" s="1"/>
  <c r="U42" i="37"/>
  <c r="T42" i="37"/>
  <c r="S42" i="37"/>
  <c r="R42" i="37"/>
  <c r="Q42" i="37"/>
  <c r="P42" i="37"/>
  <c r="O42" i="37"/>
  <c r="N42" i="37"/>
  <c r="M42" i="37"/>
  <c r="L42" i="37"/>
  <c r="K42" i="37"/>
  <c r="J42" i="37"/>
  <c r="Z42" i="37" s="1"/>
  <c r="I42" i="37"/>
  <c r="AB41" i="37"/>
  <c r="AA41" i="37"/>
  <c r="Z41" i="37"/>
  <c r="Y41" i="37"/>
  <c r="AB40" i="37"/>
  <c r="AA40" i="37"/>
  <c r="Z40" i="37"/>
  <c r="Y40" i="37"/>
  <c r="AB39" i="37"/>
  <c r="AA39" i="37"/>
  <c r="Z39" i="37"/>
  <c r="Y39" i="37"/>
  <c r="X38" i="37"/>
  <c r="W38" i="37"/>
  <c r="V38" i="37"/>
  <c r="U38" i="37"/>
  <c r="U37" i="37" s="1"/>
  <c r="T38" i="37"/>
  <c r="T37" i="37" s="1"/>
  <c r="S38" i="37"/>
  <c r="R38" i="37"/>
  <c r="R37" i="37" s="1"/>
  <c r="Q38" i="37"/>
  <c r="Q37" i="37" s="1"/>
  <c r="P38" i="37"/>
  <c r="O38" i="37"/>
  <c r="N38" i="37"/>
  <c r="M38" i="37"/>
  <c r="M37" i="37" s="1"/>
  <c r="L38" i="37"/>
  <c r="K38" i="37"/>
  <c r="AA38" i="37" s="1"/>
  <c r="J38" i="37"/>
  <c r="Z38" i="37" s="1"/>
  <c r="I38" i="37"/>
  <c r="S37" i="37"/>
  <c r="N37" i="37"/>
  <c r="J37" i="37"/>
  <c r="AB36" i="37"/>
  <c r="AA36" i="37"/>
  <c r="Z36" i="37"/>
  <c r="Y36" i="37"/>
  <c r="AB35" i="37"/>
  <c r="AA35" i="37"/>
  <c r="Z35" i="37"/>
  <c r="Y35" i="37"/>
  <c r="AB34" i="37"/>
  <c r="AA34" i="37"/>
  <c r="Z34" i="37"/>
  <c r="Y34" i="37"/>
  <c r="AA33" i="37"/>
  <c r="X33" i="37"/>
  <c r="X24" i="37" s="1"/>
  <c r="W33" i="37"/>
  <c r="V33" i="37"/>
  <c r="U33" i="37"/>
  <c r="T33" i="37"/>
  <c r="S33" i="37"/>
  <c r="R33" i="37"/>
  <c r="Q33" i="37"/>
  <c r="P33" i="37"/>
  <c r="O33" i="37"/>
  <c r="N33" i="37"/>
  <c r="M33" i="37"/>
  <c r="L33" i="37"/>
  <c r="K33" i="37"/>
  <c r="J33" i="37"/>
  <c r="I33" i="37"/>
  <c r="AB32" i="37"/>
  <c r="AA32" i="37"/>
  <c r="Z32" i="37"/>
  <c r="Y32" i="37"/>
  <c r="X31" i="37"/>
  <c r="W31" i="37"/>
  <c r="V31" i="37"/>
  <c r="U31" i="37"/>
  <c r="T31" i="37"/>
  <c r="S31" i="37"/>
  <c r="R31" i="37"/>
  <c r="Q31" i="37"/>
  <c r="P31" i="37"/>
  <c r="O31" i="37"/>
  <c r="N31" i="37"/>
  <c r="M31" i="37"/>
  <c r="L31" i="37"/>
  <c r="AB31" i="37" s="1"/>
  <c r="K31" i="37"/>
  <c r="J31" i="37"/>
  <c r="Z31" i="37" s="1"/>
  <c r="I31" i="37"/>
  <c r="Y31" i="37" s="1"/>
  <c r="AB30" i="37"/>
  <c r="AA30" i="37"/>
  <c r="Z30" i="37"/>
  <c r="Y30" i="37"/>
  <c r="X29" i="37"/>
  <c r="W29" i="37"/>
  <c r="V29" i="37"/>
  <c r="U29" i="37"/>
  <c r="T29" i="37"/>
  <c r="S29" i="37"/>
  <c r="R29" i="37"/>
  <c r="Q29" i="37"/>
  <c r="P29" i="37"/>
  <c r="O29" i="37"/>
  <c r="AA29" i="37" s="1"/>
  <c r="N29" i="37"/>
  <c r="M29" i="37"/>
  <c r="L29" i="37"/>
  <c r="AB29" i="37" s="1"/>
  <c r="K29" i="37"/>
  <c r="J29" i="37"/>
  <c r="I29" i="37"/>
  <c r="Y29" i="37" s="1"/>
  <c r="AB28" i="37"/>
  <c r="AA28" i="37"/>
  <c r="Z28" i="37"/>
  <c r="Y28" i="37"/>
  <c r="AB27" i="37"/>
  <c r="AA27" i="37"/>
  <c r="Z27" i="37"/>
  <c r="Y27" i="37"/>
  <c r="X26" i="37"/>
  <c r="W26" i="37"/>
  <c r="W25" i="37" s="1"/>
  <c r="W24" i="37" s="1"/>
  <c r="V26" i="37"/>
  <c r="V25" i="37" s="1"/>
  <c r="V24" i="37" s="1"/>
  <c r="U26" i="37"/>
  <c r="T26" i="37"/>
  <c r="T25" i="37" s="1"/>
  <c r="T24" i="37" s="1"/>
  <c r="S26" i="37"/>
  <c r="S25" i="37" s="1"/>
  <c r="R26" i="37"/>
  <c r="R25" i="37" s="1"/>
  <c r="R24" i="37" s="1"/>
  <c r="Q26" i="37"/>
  <c r="Q25" i="37" s="1"/>
  <c r="P26" i="37"/>
  <c r="O26" i="37"/>
  <c r="O25" i="37" s="1"/>
  <c r="O24" i="37" s="1"/>
  <c r="N26" i="37"/>
  <c r="N25" i="37" s="1"/>
  <c r="M26" i="37"/>
  <c r="M25" i="37" s="1"/>
  <c r="M24" i="37" s="1"/>
  <c r="L26" i="37"/>
  <c r="AB26" i="37" s="1"/>
  <c r="K26" i="37"/>
  <c r="J26" i="37"/>
  <c r="I26" i="37"/>
  <c r="Y26" i="37" s="1"/>
  <c r="X25" i="37"/>
  <c r="U25" i="37"/>
  <c r="U24" i="37" s="1"/>
  <c r="P25" i="37"/>
  <c r="P24" i="37" s="1"/>
  <c r="L25" i="37"/>
  <c r="AB25" i="37" s="1"/>
  <c r="J25" i="37"/>
  <c r="N24" i="37"/>
  <c r="AB23" i="37"/>
  <c r="AA23" i="37"/>
  <c r="Z23" i="37"/>
  <c r="Y23" i="37"/>
  <c r="AB22" i="37"/>
  <c r="AA22" i="37"/>
  <c r="Z22" i="37"/>
  <c r="Y22" i="37"/>
  <c r="X21" i="37"/>
  <c r="W21" i="37"/>
  <c r="V21" i="37"/>
  <c r="U21" i="37"/>
  <c r="T21" i="37"/>
  <c r="S21" i="37"/>
  <c r="R21" i="37"/>
  <c r="Q21" i="37"/>
  <c r="P21" i="37"/>
  <c r="O21" i="37"/>
  <c r="N21" i="37"/>
  <c r="M21" i="37"/>
  <c r="L21" i="37"/>
  <c r="AB21" i="37" s="1"/>
  <c r="K21" i="37"/>
  <c r="AA21" i="37" s="1"/>
  <c r="J21" i="37"/>
  <c r="I21" i="37"/>
  <c r="Y21" i="37" s="1"/>
  <c r="AB20" i="37"/>
  <c r="AA20" i="37"/>
  <c r="Z20" i="37"/>
  <c r="Y20" i="37"/>
  <c r="AB19" i="37"/>
  <c r="AA19" i="37"/>
  <c r="Z19" i="37"/>
  <c r="Y19" i="37"/>
  <c r="X18" i="37"/>
  <c r="W18" i="37"/>
  <c r="W17" i="37" s="1"/>
  <c r="V18" i="37"/>
  <c r="U18" i="37"/>
  <c r="T18" i="37"/>
  <c r="T17" i="37" s="1"/>
  <c r="S18" i="37"/>
  <c r="S17" i="37" s="1"/>
  <c r="R18" i="37"/>
  <c r="Q18" i="37"/>
  <c r="P18" i="37"/>
  <c r="O18" i="37"/>
  <c r="O17" i="37" s="1"/>
  <c r="N18" i="37"/>
  <c r="N17" i="37" s="1"/>
  <c r="M18" i="37"/>
  <c r="L18" i="37"/>
  <c r="K18" i="37"/>
  <c r="AA18" i="37" s="1"/>
  <c r="J18" i="37"/>
  <c r="I18" i="37"/>
  <c r="Y18" i="37" s="1"/>
  <c r="X17" i="37"/>
  <c r="V17" i="37"/>
  <c r="U17" i="37"/>
  <c r="R17" i="37"/>
  <c r="Q17" i="37"/>
  <c r="P17" i="37"/>
  <c r="M17" i="37"/>
  <c r="J17" i="37"/>
  <c r="AB16" i="37"/>
  <c r="AA16" i="37"/>
  <c r="Z16" i="37"/>
  <c r="Y16" i="37"/>
  <c r="X15" i="37"/>
  <c r="W15" i="37"/>
  <c r="V15" i="37"/>
  <c r="V10" i="37" s="1"/>
  <c r="V9" i="37" s="1"/>
  <c r="U15" i="37"/>
  <c r="T15" i="37"/>
  <c r="S15" i="37"/>
  <c r="R15" i="37"/>
  <c r="Q15" i="37"/>
  <c r="P15" i="37"/>
  <c r="O15" i="37"/>
  <c r="N15" i="37"/>
  <c r="M15" i="37"/>
  <c r="L15" i="37"/>
  <c r="AB15" i="37" s="1"/>
  <c r="K15" i="37"/>
  <c r="AA15" i="37" s="1"/>
  <c r="J15" i="37"/>
  <c r="I15" i="37"/>
  <c r="Y15" i="37" s="1"/>
  <c r="AB14" i="37"/>
  <c r="AA14" i="37"/>
  <c r="Z14" i="37"/>
  <c r="Y14" i="37"/>
  <c r="AB13" i="37"/>
  <c r="AA13" i="37"/>
  <c r="Z13" i="37"/>
  <c r="Y13" i="37"/>
  <c r="X12" i="37"/>
  <c r="W12" i="37"/>
  <c r="V12" i="37"/>
  <c r="U12" i="37"/>
  <c r="U11" i="37" s="1"/>
  <c r="U10" i="37" s="1"/>
  <c r="U9" i="37" s="1"/>
  <c r="T12" i="37"/>
  <c r="T11" i="37" s="1"/>
  <c r="T10" i="37" s="1"/>
  <c r="T9" i="37" s="1"/>
  <c r="S12" i="37"/>
  <c r="R12" i="37"/>
  <c r="R11" i="37" s="1"/>
  <c r="R10" i="37" s="1"/>
  <c r="R9" i="37" s="1"/>
  <c r="Q12" i="37"/>
  <c r="Q11" i="37" s="1"/>
  <c r="P12" i="37"/>
  <c r="P11" i="37" s="1"/>
  <c r="P10" i="37" s="1"/>
  <c r="P9" i="37" s="1"/>
  <c r="O12" i="37"/>
  <c r="O11" i="37" s="1"/>
  <c r="O10" i="37" s="1"/>
  <c r="O9" i="37" s="1"/>
  <c r="O4" i="37" s="1"/>
  <c r="N12" i="37"/>
  <c r="M12" i="37"/>
  <c r="M11" i="37" s="1"/>
  <c r="M10" i="37" s="1"/>
  <c r="M9" i="37" s="1"/>
  <c r="L12" i="37"/>
  <c r="K12" i="37"/>
  <c r="AA12" i="37" s="1"/>
  <c r="J12" i="37"/>
  <c r="Z12" i="37" s="1"/>
  <c r="I12" i="37"/>
  <c r="X11" i="37"/>
  <c r="W11" i="37"/>
  <c r="V11" i="37"/>
  <c r="S11" i="37"/>
  <c r="S10" i="37" s="1"/>
  <c r="N11" i="37"/>
  <c r="N10" i="37" s="1"/>
  <c r="N9" i="37" s="1"/>
  <c r="J11" i="37"/>
  <c r="Z11" i="37" s="1"/>
  <c r="X10" i="37"/>
  <c r="X9" i="37" s="1"/>
  <c r="J10" i="37"/>
  <c r="Z10" i="37" s="1"/>
  <c r="Z9" i="37" s="1"/>
  <c r="AB8" i="37"/>
  <c r="AA8" i="37"/>
  <c r="Z8" i="37"/>
  <c r="Y8" i="37"/>
  <c r="AB7" i="37"/>
  <c r="AA7" i="37"/>
  <c r="Z7" i="37"/>
  <c r="Y7" i="37"/>
  <c r="X6" i="37"/>
  <c r="W6" i="37"/>
  <c r="V6" i="37"/>
  <c r="U6" i="37"/>
  <c r="T6" i="37"/>
  <c r="S6" i="37"/>
  <c r="R6" i="37"/>
  <c r="R4" i="37" s="1"/>
  <c r="Q6" i="37"/>
  <c r="P6" i="37"/>
  <c r="O6" i="37"/>
  <c r="N6" i="37"/>
  <c r="M6" i="37"/>
  <c r="L6" i="37"/>
  <c r="AB6" i="37" s="1"/>
  <c r="K6" i="37"/>
  <c r="J6" i="37"/>
  <c r="Z6" i="37" s="1"/>
  <c r="I6" i="37"/>
  <c r="AB5" i="37"/>
  <c r="AA5" i="37"/>
  <c r="Z5" i="37"/>
  <c r="Y5" i="37"/>
  <c r="N4" i="37"/>
  <c r="U301" i="49"/>
  <c r="N301" i="49"/>
  <c r="T300" i="49"/>
  <c r="S300" i="49"/>
  <c r="R300" i="49"/>
  <c r="Q300" i="49"/>
  <c r="P300" i="49"/>
  <c r="O300" i="49"/>
  <c r="M300" i="49"/>
  <c r="L300" i="49"/>
  <c r="K300" i="49"/>
  <c r="U299" i="49"/>
  <c r="N299" i="49"/>
  <c r="U298" i="49"/>
  <c r="N298" i="49"/>
  <c r="U297" i="49"/>
  <c r="N297" i="49"/>
  <c r="T296" i="49"/>
  <c r="S296" i="49"/>
  <c r="R296" i="49"/>
  <c r="Q296" i="49"/>
  <c r="Q295" i="49" s="1"/>
  <c r="P296" i="49"/>
  <c r="P295" i="49" s="1"/>
  <c r="O296" i="49"/>
  <c r="O295" i="49" s="1"/>
  <c r="M296" i="49"/>
  <c r="M295" i="49" s="1"/>
  <c r="M281" i="49" s="1"/>
  <c r="L296" i="49"/>
  <c r="L295" i="49" s="1"/>
  <c r="K296" i="49"/>
  <c r="K295" i="49" s="1"/>
  <c r="S295" i="49"/>
  <c r="R295" i="49"/>
  <c r="U294" i="49"/>
  <c r="N294" i="49"/>
  <c r="U293" i="49"/>
  <c r="N293" i="49"/>
  <c r="U292" i="49"/>
  <c r="N292" i="49"/>
  <c r="U291" i="49"/>
  <c r="N291" i="49"/>
  <c r="U290" i="49"/>
  <c r="N290" i="49"/>
  <c r="U289" i="49"/>
  <c r="N289" i="49"/>
  <c r="U288" i="49"/>
  <c r="N288" i="49"/>
  <c r="U287" i="49"/>
  <c r="N287" i="49"/>
  <c r="U286" i="49"/>
  <c r="N286" i="49"/>
  <c r="T285" i="49"/>
  <c r="U285" i="49" s="1"/>
  <c r="S285" i="49"/>
  <c r="R285" i="49"/>
  <c r="Q285" i="49"/>
  <c r="P285" i="49"/>
  <c r="O285" i="49"/>
  <c r="M285" i="49"/>
  <c r="L285" i="49"/>
  <c r="K285" i="49"/>
  <c r="U284" i="49"/>
  <c r="N284" i="49"/>
  <c r="U283" i="49"/>
  <c r="N283" i="49"/>
  <c r="T282" i="49"/>
  <c r="S282" i="49"/>
  <c r="R282" i="49"/>
  <c r="Q282" i="49"/>
  <c r="P282" i="49"/>
  <c r="O282" i="49"/>
  <c r="M282" i="49"/>
  <c r="L282" i="49"/>
  <c r="K282" i="49"/>
  <c r="R281" i="49"/>
  <c r="U280" i="49"/>
  <c r="N280" i="49"/>
  <c r="U279" i="49"/>
  <c r="N279" i="49"/>
  <c r="U278" i="49"/>
  <c r="N278" i="49"/>
  <c r="U277" i="49"/>
  <c r="N277" i="49"/>
  <c r="U276" i="49"/>
  <c r="N276" i="49"/>
  <c r="U275" i="49"/>
  <c r="N275" i="49"/>
  <c r="U274" i="49"/>
  <c r="N274" i="49"/>
  <c r="T273" i="49"/>
  <c r="S273" i="49"/>
  <c r="R273" i="49"/>
  <c r="Q273" i="49"/>
  <c r="P273" i="49"/>
  <c r="O273" i="49"/>
  <c r="M273" i="49"/>
  <c r="M269" i="49" s="1"/>
  <c r="L273" i="49"/>
  <c r="K273" i="49"/>
  <c r="U272" i="49"/>
  <c r="N272" i="49"/>
  <c r="U271" i="49"/>
  <c r="N271" i="49"/>
  <c r="T270" i="49"/>
  <c r="U270" i="49" s="1"/>
  <c r="S270" i="49"/>
  <c r="R270" i="49"/>
  <c r="Q270" i="49"/>
  <c r="Q269" i="49" s="1"/>
  <c r="P270" i="49"/>
  <c r="P269" i="49" s="1"/>
  <c r="O270" i="49"/>
  <c r="M270" i="49"/>
  <c r="L270" i="49"/>
  <c r="L269" i="49" s="1"/>
  <c r="K270" i="49"/>
  <c r="N270" i="49" s="1"/>
  <c r="U268" i="49"/>
  <c r="N268" i="49"/>
  <c r="U267" i="49"/>
  <c r="N267" i="49"/>
  <c r="U266" i="49"/>
  <c r="N266" i="49"/>
  <c r="U265" i="49"/>
  <c r="N265" i="49"/>
  <c r="U264" i="49"/>
  <c r="N264" i="49"/>
  <c r="U263" i="49"/>
  <c r="N263" i="49"/>
  <c r="U262" i="49"/>
  <c r="N262" i="49"/>
  <c r="T261" i="49"/>
  <c r="S261" i="49"/>
  <c r="U261" i="49" s="1"/>
  <c r="R261" i="49"/>
  <c r="Q261" i="49"/>
  <c r="P261" i="49"/>
  <c r="O261" i="49"/>
  <c r="N261" i="49"/>
  <c r="M261" i="49"/>
  <c r="L261" i="49"/>
  <c r="K261" i="49"/>
  <c r="U260" i="49"/>
  <c r="N260" i="49"/>
  <c r="U259" i="49"/>
  <c r="N259" i="49"/>
  <c r="U258" i="49"/>
  <c r="T258" i="49"/>
  <c r="T257" i="49" s="1"/>
  <c r="S258" i="49"/>
  <c r="R258" i="49"/>
  <c r="R257" i="49" s="1"/>
  <c r="Q258" i="49"/>
  <c r="P258" i="49"/>
  <c r="P257" i="49" s="1"/>
  <c r="O258" i="49"/>
  <c r="M258" i="49"/>
  <c r="L258" i="49"/>
  <c r="L257" i="49" s="1"/>
  <c r="K258" i="49"/>
  <c r="U255" i="49"/>
  <c r="N255" i="49"/>
  <c r="U254" i="49"/>
  <c r="N254" i="49"/>
  <c r="U253" i="49"/>
  <c r="N253" i="49"/>
  <c r="U252" i="49"/>
  <c r="N252" i="49"/>
  <c r="U251" i="49"/>
  <c r="N251" i="49"/>
  <c r="U250" i="49"/>
  <c r="N250" i="49"/>
  <c r="U249" i="49"/>
  <c r="N249" i="49"/>
  <c r="U248" i="49"/>
  <c r="N248" i="49"/>
  <c r="T247" i="49"/>
  <c r="S247" i="49"/>
  <c r="R247" i="49"/>
  <c r="Q247" i="49"/>
  <c r="P247" i="49"/>
  <c r="O247" i="49"/>
  <c r="M247" i="49"/>
  <c r="L247" i="49"/>
  <c r="K247" i="49"/>
  <c r="K243" i="49" s="1"/>
  <c r="U246" i="49"/>
  <c r="N246" i="49"/>
  <c r="U245" i="49"/>
  <c r="N245" i="49"/>
  <c r="T244" i="49"/>
  <c r="S244" i="49"/>
  <c r="U244" i="49" s="1"/>
  <c r="R244" i="49"/>
  <c r="Q244" i="49"/>
  <c r="P244" i="49"/>
  <c r="O244" i="49"/>
  <c r="M244" i="49"/>
  <c r="L244" i="49"/>
  <c r="L243" i="49" s="1"/>
  <c r="K244" i="49"/>
  <c r="T243" i="49"/>
  <c r="U242" i="49"/>
  <c r="N242" i="49"/>
  <c r="U241" i="49"/>
  <c r="N241" i="49"/>
  <c r="T240" i="49"/>
  <c r="S240" i="49"/>
  <c r="R240" i="49"/>
  <c r="Q240" i="49"/>
  <c r="P240" i="49"/>
  <c r="O240" i="49"/>
  <c r="M240" i="49"/>
  <c r="L240" i="49"/>
  <c r="K240" i="49"/>
  <c r="U239" i="49"/>
  <c r="N239" i="49"/>
  <c r="U238" i="49"/>
  <c r="N238" i="49"/>
  <c r="U237" i="49"/>
  <c r="N237" i="49"/>
  <c r="T236" i="49"/>
  <c r="S236" i="49"/>
  <c r="R236" i="49"/>
  <c r="Q236" i="49"/>
  <c r="Q235" i="49" s="1"/>
  <c r="P236" i="49"/>
  <c r="P235" i="49" s="1"/>
  <c r="O236" i="49"/>
  <c r="O235" i="49" s="1"/>
  <c r="M236" i="49"/>
  <c r="M235" i="49" s="1"/>
  <c r="L236" i="49"/>
  <c r="L235" i="49" s="1"/>
  <c r="K236" i="49"/>
  <c r="K235" i="49" s="1"/>
  <c r="S235" i="49"/>
  <c r="R235" i="49"/>
  <c r="U234" i="49"/>
  <c r="N234" i="49"/>
  <c r="U233" i="49"/>
  <c r="N233" i="49"/>
  <c r="U232" i="49"/>
  <c r="N232" i="49"/>
  <c r="T231" i="49"/>
  <c r="U231" i="49" s="1"/>
  <c r="S231" i="49"/>
  <c r="R231" i="49"/>
  <c r="Q231" i="49"/>
  <c r="P231" i="49"/>
  <c r="O231" i="49"/>
  <c r="M231" i="49"/>
  <c r="L231" i="49"/>
  <c r="K231" i="49"/>
  <c r="U230" i="49"/>
  <c r="N230" i="49"/>
  <c r="U229" i="49"/>
  <c r="N229" i="49"/>
  <c r="U228" i="49"/>
  <c r="N228" i="49"/>
  <c r="U227" i="49"/>
  <c r="N227" i="49"/>
  <c r="U226" i="49"/>
  <c r="N226" i="49"/>
  <c r="U225" i="49"/>
  <c r="N225" i="49"/>
  <c r="U224" i="49"/>
  <c r="N224" i="49"/>
  <c r="U223" i="49"/>
  <c r="N223" i="49"/>
  <c r="T222" i="49"/>
  <c r="S222" i="49"/>
  <c r="R222" i="49"/>
  <c r="Q222" i="49"/>
  <c r="P222" i="49"/>
  <c r="O222" i="49"/>
  <c r="M222" i="49"/>
  <c r="L222" i="49"/>
  <c r="K222" i="49"/>
  <c r="U221" i="49"/>
  <c r="N221" i="49"/>
  <c r="U220" i="49"/>
  <c r="N220" i="49"/>
  <c r="U219" i="49"/>
  <c r="N219" i="49"/>
  <c r="T218" i="49"/>
  <c r="S218" i="49"/>
  <c r="R218" i="49"/>
  <c r="Q218" i="49"/>
  <c r="P218" i="49"/>
  <c r="O218" i="49"/>
  <c r="M218" i="49"/>
  <c r="L218" i="49"/>
  <c r="L213" i="49" s="1"/>
  <c r="K218" i="49"/>
  <c r="U217" i="49"/>
  <c r="N217" i="49"/>
  <c r="U216" i="49"/>
  <c r="N216" i="49"/>
  <c r="U215" i="49"/>
  <c r="N215" i="49"/>
  <c r="P215" i="49" s="1"/>
  <c r="P214" i="49" s="1"/>
  <c r="T214" i="49"/>
  <c r="S214" i="49"/>
  <c r="R214" i="49"/>
  <c r="Q214" i="49"/>
  <c r="O214" i="49"/>
  <c r="M214" i="49"/>
  <c r="M213" i="49" s="1"/>
  <c r="L214" i="49"/>
  <c r="K214" i="49"/>
  <c r="N214" i="49" s="1"/>
  <c r="U212" i="49"/>
  <c r="N212" i="49"/>
  <c r="U211" i="49"/>
  <c r="N211" i="49"/>
  <c r="U210" i="49"/>
  <c r="N210" i="49"/>
  <c r="U209" i="49"/>
  <c r="N209" i="49"/>
  <c r="U208" i="49"/>
  <c r="N208" i="49"/>
  <c r="T207" i="49"/>
  <c r="T206" i="49" s="1"/>
  <c r="S207" i="49"/>
  <c r="U207" i="49" s="1"/>
  <c r="R207" i="49"/>
  <c r="R206" i="49" s="1"/>
  <c r="Q207" i="49"/>
  <c r="P207" i="49"/>
  <c r="O207" i="49"/>
  <c r="O206" i="49" s="1"/>
  <c r="M207" i="49"/>
  <c r="M206" i="49" s="1"/>
  <c r="L207" i="49"/>
  <c r="K207" i="49"/>
  <c r="K206" i="49" s="1"/>
  <c r="Q206" i="49"/>
  <c r="P206" i="49"/>
  <c r="L206" i="49"/>
  <c r="U205" i="49"/>
  <c r="N205" i="49"/>
  <c r="U204" i="49"/>
  <c r="N204" i="49"/>
  <c r="U203" i="49"/>
  <c r="N203" i="49"/>
  <c r="U202" i="49"/>
  <c r="N202" i="49"/>
  <c r="U201" i="49"/>
  <c r="N201" i="49"/>
  <c r="U200" i="49"/>
  <c r="N200" i="49"/>
  <c r="T199" i="49"/>
  <c r="U199" i="49" s="1"/>
  <c r="S199" i="49"/>
  <c r="R199" i="49"/>
  <c r="Q199" i="49"/>
  <c r="P199" i="49"/>
  <c r="O199" i="49"/>
  <c r="M199" i="49"/>
  <c r="L199" i="49"/>
  <c r="K199" i="49"/>
  <c r="N199" i="49" s="1"/>
  <c r="U198" i="49"/>
  <c r="N198" i="49"/>
  <c r="U197" i="49"/>
  <c r="N197" i="49"/>
  <c r="T196" i="49"/>
  <c r="S196" i="49"/>
  <c r="R196" i="49"/>
  <c r="Q196" i="49"/>
  <c r="Q195" i="49" s="1"/>
  <c r="P196" i="49"/>
  <c r="O196" i="49"/>
  <c r="M196" i="49"/>
  <c r="M195" i="49" s="1"/>
  <c r="L196" i="49"/>
  <c r="L195" i="49" s="1"/>
  <c r="L194" i="49" s="1"/>
  <c r="K196" i="49"/>
  <c r="R195" i="49"/>
  <c r="R194" i="49" s="1"/>
  <c r="U193" i="49"/>
  <c r="N193" i="49"/>
  <c r="U192" i="49"/>
  <c r="N192" i="49"/>
  <c r="U191" i="49"/>
  <c r="N191" i="49"/>
  <c r="U190" i="49"/>
  <c r="N190" i="49"/>
  <c r="T189" i="49"/>
  <c r="S189" i="49"/>
  <c r="R189" i="49"/>
  <c r="R188" i="49" s="1"/>
  <c r="Q189" i="49"/>
  <c r="Q188" i="49" s="1"/>
  <c r="P189" i="49"/>
  <c r="P188" i="49" s="1"/>
  <c r="O189" i="49"/>
  <c r="M189" i="49"/>
  <c r="M188" i="49" s="1"/>
  <c r="L189" i="49"/>
  <c r="L188" i="49" s="1"/>
  <c r="K189" i="49"/>
  <c r="S188" i="49"/>
  <c r="O188" i="49"/>
  <c r="K188" i="49"/>
  <c r="U187" i="49"/>
  <c r="N187" i="49"/>
  <c r="U186" i="49"/>
  <c r="N186" i="49"/>
  <c r="U185" i="49"/>
  <c r="N185" i="49"/>
  <c r="U184" i="49"/>
  <c r="N184" i="49"/>
  <c r="U183" i="49"/>
  <c r="N183" i="49"/>
  <c r="U182" i="49"/>
  <c r="N182" i="49"/>
  <c r="U181" i="49"/>
  <c r="N181" i="49"/>
  <c r="U180" i="49"/>
  <c r="N180" i="49"/>
  <c r="U179" i="49"/>
  <c r="N179" i="49"/>
  <c r="U178" i="49"/>
  <c r="N178" i="49"/>
  <c r="U177" i="49"/>
  <c r="N177" i="49"/>
  <c r="U176" i="49"/>
  <c r="N176" i="49"/>
  <c r="U175" i="49"/>
  <c r="N175" i="49"/>
  <c r="U174" i="49"/>
  <c r="N174" i="49"/>
  <c r="U173" i="49"/>
  <c r="N173" i="49"/>
  <c r="U172" i="49"/>
  <c r="N172" i="49"/>
  <c r="T171" i="49"/>
  <c r="U171" i="49" s="1"/>
  <c r="S171" i="49"/>
  <c r="S170" i="49" s="1"/>
  <c r="R171" i="49"/>
  <c r="R170" i="49" s="1"/>
  <c r="Q171" i="49"/>
  <c r="P171" i="49"/>
  <c r="P170" i="49" s="1"/>
  <c r="O171" i="49"/>
  <c r="O170" i="49" s="1"/>
  <c r="M171" i="49"/>
  <c r="L171" i="49"/>
  <c r="L170" i="49" s="1"/>
  <c r="L154" i="49" s="1"/>
  <c r="L153" i="49" s="1"/>
  <c r="L151" i="49" s="1"/>
  <c r="K171" i="49"/>
  <c r="K170" i="49" s="1"/>
  <c r="T170" i="49"/>
  <c r="Q170" i="49"/>
  <c r="M170" i="49"/>
  <c r="M154" i="49" s="1"/>
  <c r="U169" i="49"/>
  <c r="N169" i="49"/>
  <c r="T168" i="49"/>
  <c r="U168" i="49" s="1"/>
  <c r="S168" i="49"/>
  <c r="R168" i="49"/>
  <c r="Q168" i="49"/>
  <c r="P168" i="49"/>
  <c r="O168" i="49"/>
  <c r="M168" i="49"/>
  <c r="L168" i="49"/>
  <c r="K168" i="49"/>
  <c r="U167" i="49"/>
  <c r="N167" i="49"/>
  <c r="U166" i="49"/>
  <c r="N166" i="49"/>
  <c r="U165" i="49"/>
  <c r="N165" i="49"/>
  <c r="U164" i="49"/>
  <c r="N164" i="49"/>
  <c r="U163" i="49"/>
  <c r="N163" i="49"/>
  <c r="U162" i="49"/>
  <c r="N162" i="49"/>
  <c r="U161" i="49"/>
  <c r="N161" i="49"/>
  <c r="U160" i="49"/>
  <c r="N160" i="49"/>
  <c r="U159" i="49"/>
  <c r="N159" i="49"/>
  <c r="T158" i="49"/>
  <c r="U158" i="49" s="1"/>
  <c r="S158" i="49"/>
  <c r="R158" i="49"/>
  <c r="Q158" i="49"/>
  <c r="Q154" i="49" s="1"/>
  <c r="P158" i="49"/>
  <c r="O158" i="49"/>
  <c r="N158" i="49"/>
  <c r="M158" i="49"/>
  <c r="L158" i="49"/>
  <c r="K158" i="49"/>
  <c r="U157" i="49"/>
  <c r="N157" i="49"/>
  <c r="U156" i="49"/>
  <c r="N156" i="49"/>
  <c r="P156" i="49" s="1"/>
  <c r="P154" i="49" s="1"/>
  <c r="P153" i="49" s="1"/>
  <c r="P151" i="49" s="1"/>
  <c r="U155" i="49"/>
  <c r="N155" i="49"/>
  <c r="U152" i="49"/>
  <c r="N152" i="49"/>
  <c r="U150" i="49"/>
  <c r="N150" i="49"/>
  <c r="T149" i="49"/>
  <c r="S149" i="49"/>
  <c r="U149" i="49" s="1"/>
  <c r="R149" i="49"/>
  <c r="Q149" i="49"/>
  <c r="P149" i="49"/>
  <c r="P143" i="49" s="1"/>
  <c r="P142" i="49" s="1"/>
  <c r="O149" i="49"/>
  <c r="M149" i="49"/>
  <c r="M143" i="49" s="1"/>
  <c r="M142" i="49" s="1"/>
  <c r="L149" i="49"/>
  <c r="K149" i="49"/>
  <c r="N149" i="49" s="1"/>
  <c r="U148" i="49"/>
  <c r="N148" i="49"/>
  <c r="T147" i="49"/>
  <c r="S147" i="49"/>
  <c r="S144" i="49" s="1"/>
  <c r="S143" i="49" s="1"/>
  <c r="S142" i="49" s="1"/>
  <c r="R147" i="49"/>
  <c r="R144" i="49" s="1"/>
  <c r="Q147" i="49"/>
  <c r="P147" i="49"/>
  <c r="P144" i="49" s="1"/>
  <c r="O147" i="49"/>
  <c r="O144" i="49" s="1"/>
  <c r="M147" i="49"/>
  <c r="L147" i="49"/>
  <c r="L144" i="49" s="1"/>
  <c r="L143" i="49" s="1"/>
  <c r="L142" i="49" s="1"/>
  <c r="K147" i="49"/>
  <c r="U146" i="49"/>
  <c r="N146" i="49"/>
  <c r="U145" i="49"/>
  <c r="N145" i="49"/>
  <c r="Q144" i="49"/>
  <c r="Q143" i="49" s="1"/>
  <c r="Q142" i="49" s="1"/>
  <c r="M144" i="49"/>
  <c r="K144" i="49"/>
  <c r="U140" i="49"/>
  <c r="N140" i="49"/>
  <c r="U139" i="49"/>
  <c r="N139" i="49"/>
  <c r="N137" i="49" s="1"/>
  <c r="U138" i="49"/>
  <c r="N138" i="49"/>
  <c r="T137" i="49"/>
  <c r="S137" i="49"/>
  <c r="R137" i="49"/>
  <c r="Q137" i="49"/>
  <c r="P137" i="49"/>
  <c r="O137" i="49"/>
  <c r="M137" i="49"/>
  <c r="L137" i="49"/>
  <c r="K137" i="49"/>
  <c r="U136" i="49"/>
  <c r="N136" i="49"/>
  <c r="U135" i="49"/>
  <c r="N135" i="49"/>
  <c r="U134" i="49"/>
  <c r="N134" i="49"/>
  <c r="U133" i="49"/>
  <c r="N133" i="49"/>
  <c r="U132" i="49"/>
  <c r="N132" i="49"/>
  <c r="U131" i="49"/>
  <c r="N131" i="49"/>
  <c r="T130" i="49"/>
  <c r="S130" i="49"/>
  <c r="R130" i="49"/>
  <c r="Q130" i="49"/>
  <c r="P130" i="49"/>
  <c r="O130" i="49"/>
  <c r="M130" i="49"/>
  <c r="L130" i="49"/>
  <c r="K130" i="49"/>
  <c r="N130" i="49" s="1"/>
  <c r="U129" i="49"/>
  <c r="N129" i="49"/>
  <c r="U128" i="49"/>
  <c r="N128" i="49"/>
  <c r="U127" i="49"/>
  <c r="N127" i="49"/>
  <c r="O127" i="49" s="1"/>
  <c r="O126" i="49" s="1"/>
  <c r="T126" i="49"/>
  <c r="U126" i="49" s="1"/>
  <c r="S126" i="49"/>
  <c r="R126" i="49"/>
  <c r="Q126" i="49"/>
  <c r="P126" i="49"/>
  <c r="M126" i="49"/>
  <c r="L126" i="49"/>
  <c r="K126" i="49"/>
  <c r="U124" i="49"/>
  <c r="N124" i="49"/>
  <c r="U123" i="49"/>
  <c r="N123" i="49"/>
  <c r="T122" i="49"/>
  <c r="U122" i="49" s="1"/>
  <c r="S122" i="49"/>
  <c r="R122" i="49"/>
  <c r="Q122" i="49"/>
  <c r="P122" i="49"/>
  <c r="O122" i="49"/>
  <c r="M122" i="49"/>
  <c r="L122" i="49"/>
  <c r="K122" i="49"/>
  <c r="U121" i="49"/>
  <c r="N121" i="49"/>
  <c r="U120" i="49"/>
  <c r="N120" i="49"/>
  <c r="T119" i="49"/>
  <c r="S119" i="49"/>
  <c r="R119" i="49"/>
  <c r="Q119" i="49"/>
  <c r="P119" i="49"/>
  <c r="O119" i="49"/>
  <c r="M119" i="49"/>
  <c r="L119" i="49"/>
  <c r="K119" i="49"/>
  <c r="N119" i="49" s="1"/>
  <c r="U118" i="49"/>
  <c r="N118" i="49"/>
  <c r="P118" i="49" s="1"/>
  <c r="U117" i="49"/>
  <c r="N117" i="49"/>
  <c r="P117" i="49" s="1"/>
  <c r="T116" i="49"/>
  <c r="S116" i="49"/>
  <c r="R116" i="49"/>
  <c r="Q116" i="49"/>
  <c r="O116" i="49"/>
  <c r="M116" i="49"/>
  <c r="L116" i="49"/>
  <c r="K116" i="49"/>
  <c r="U115" i="49"/>
  <c r="N115" i="49"/>
  <c r="U114" i="49"/>
  <c r="N114" i="49"/>
  <c r="R114" i="49" s="1"/>
  <c r="T113" i="49"/>
  <c r="U113" i="49" s="1"/>
  <c r="S113" i="49"/>
  <c r="Q113" i="49"/>
  <c r="O113" i="49"/>
  <c r="M113" i="49"/>
  <c r="L113" i="49"/>
  <c r="K113" i="49"/>
  <c r="U109" i="49"/>
  <c r="N109" i="49"/>
  <c r="U108" i="49"/>
  <c r="N108" i="49"/>
  <c r="U107" i="49"/>
  <c r="T107" i="49"/>
  <c r="S107" i="49"/>
  <c r="R107" i="49"/>
  <c r="Q107" i="49"/>
  <c r="P107" i="49"/>
  <c r="O107" i="49"/>
  <c r="M107" i="49"/>
  <c r="L107" i="49"/>
  <c r="K107" i="49"/>
  <c r="N107" i="49" s="1"/>
  <c r="U106" i="49"/>
  <c r="N106" i="49"/>
  <c r="U105" i="49"/>
  <c r="N105" i="49"/>
  <c r="T104" i="49"/>
  <c r="U104" i="49" s="1"/>
  <c r="S104" i="49"/>
  <c r="R104" i="49"/>
  <c r="Q104" i="49"/>
  <c r="P104" i="49"/>
  <c r="O104" i="49"/>
  <c r="M104" i="49"/>
  <c r="L104" i="49"/>
  <c r="K104" i="49"/>
  <c r="U103" i="49"/>
  <c r="N103" i="49"/>
  <c r="U102" i="49"/>
  <c r="N102" i="49"/>
  <c r="T101" i="49"/>
  <c r="S101" i="49"/>
  <c r="R101" i="49"/>
  <c r="Q101" i="49"/>
  <c r="P101" i="49"/>
  <c r="O101" i="49"/>
  <c r="M101" i="49"/>
  <c r="L101" i="49"/>
  <c r="K101" i="49"/>
  <c r="U100" i="49"/>
  <c r="N100" i="49"/>
  <c r="U99" i="49"/>
  <c r="N99" i="49"/>
  <c r="T98" i="49"/>
  <c r="S98" i="49"/>
  <c r="S97" i="49" s="1"/>
  <c r="R98" i="49"/>
  <c r="Q98" i="49"/>
  <c r="P98" i="49"/>
  <c r="O98" i="49"/>
  <c r="M98" i="49"/>
  <c r="L98" i="49"/>
  <c r="K98" i="49"/>
  <c r="U96" i="49"/>
  <c r="N96" i="49"/>
  <c r="U95" i="49"/>
  <c r="N95" i="49"/>
  <c r="T94" i="49"/>
  <c r="S94" i="49"/>
  <c r="R94" i="49"/>
  <c r="Q94" i="49"/>
  <c r="P94" i="49"/>
  <c r="O94" i="49"/>
  <c r="M94" i="49"/>
  <c r="L94" i="49"/>
  <c r="K94" i="49"/>
  <c r="U93" i="49"/>
  <c r="N93" i="49"/>
  <c r="U92" i="49"/>
  <c r="N92" i="49"/>
  <c r="T91" i="49"/>
  <c r="U91" i="49" s="1"/>
  <c r="S91" i="49"/>
  <c r="R91" i="49"/>
  <c r="Q91" i="49"/>
  <c r="P91" i="49"/>
  <c r="O91" i="49"/>
  <c r="M91" i="49"/>
  <c r="L91" i="49"/>
  <c r="K91" i="49"/>
  <c r="N91" i="49" s="1"/>
  <c r="U90" i="49"/>
  <c r="N90" i="49"/>
  <c r="U89" i="49"/>
  <c r="N89" i="49"/>
  <c r="T88" i="49"/>
  <c r="U88" i="49" s="1"/>
  <c r="S88" i="49"/>
  <c r="R88" i="49"/>
  <c r="Q88" i="49"/>
  <c r="Q87" i="49" s="1"/>
  <c r="Q86" i="49" s="1"/>
  <c r="Q85" i="49" s="1"/>
  <c r="P88" i="49"/>
  <c r="O88" i="49"/>
  <c r="M88" i="49"/>
  <c r="M87" i="49" s="1"/>
  <c r="M86" i="49" s="1"/>
  <c r="M85" i="49" s="1"/>
  <c r="L88" i="49"/>
  <c r="K88" i="49"/>
  <c r="R87" i="49"/>
  <c r="R86" i="49" s="1"/>
  <c r="R85" i="49" s="1"/>
  <c r="U83" i="49"/>
  <c r="N83" i="49"/>
  <c r="U82" i="49"/>
  <c r="N82" i="49"/>
  <c r="U81" i="49"/>
  <c r="T81" i="49"/>
  <c r="S81" i="49"/>
  <c r="R81" i="49"/>
  <c r="Q81" i="49"/>
  <c r="P81" i="49"/>
  <c r="O81" i="49"/>
  <c r="M81" i="49"/>
  <c r="L81" i="49"/>
  <c r="K81" i="49"/>
  <c r="U80" i="49"/>
  <c r="N80" i="49"/>
  <c r="U79" i="49"/>
  <c r="N79" i="49"/>
  <c r="T78" i="49"/>
  <c r="U78" i="49" s="1"/>
  <c r="S78" i="49"/>
  <c r="R78" i="49"/>
  <c r="R77" i="49" s="1"/>
  <c r="R76" i="49" s="1"/>
  <c r="P78" i="49"/>
  <c r="M78" i="49"/>
  <c r="M77" i="49" s="1"/>
  <c r="M76" i="49" s="1"/>
  <c r="L78" i="49"/>
  <c r="L77" i="49" s="1"/>
  <c r="L76" i="49" s="1"/>
  <c r="K78" i="49"/>
  <c r="T77" i="49"/>
  <c r="U77" i="49" s="1"/>
  <c r="S77" i="49"/>
  <c r="S76" i="49" s="1"/>
  <c r="P77" i="49"/>
  <c r="K77" i="49"/>
  <c r="K76" i="49"/>
  <c r="U75" i="49"/>
  <c r="N75" i="49"/>
  <c r="U74" i="49"/>
  <c r="Q74" i="49"/>
  <c r="Q73" i="49" s="1"/>
  <c r="O74" i="49"/>
  <c r="O73" i="49" s="1"/>
  <c r="N74" i="49"/>
  <c r="T73" i="49"/>
  <c r="S73" i="49"/>
  <c r="R73" i="49"/>
  <c r="P73" i="49"/>
  <c r="M73" i="49"/>
  <c r="L73" i="49"/>
  <c r="K73" i="49"/>
  <c r="U72" i="49"/>
  <c r="N72" i="49"/>
  <c r="U71" i="49"/>
  <c r="N71" i="49"/>
  <c r="T70" i="49"/>
  <c r="S70" i="49"/>
  <c r="R70" i="49"/>
  <c r="Q70" i="49"/>
  <c r="P70" i="49"/>
  <c r="O70" i="49"/>
  <c r="M70" i="49"/>
  <c r="L70" i="49"/>
  <c r="K70" i="49"/>
  <c r="U69" i="49"/>
  <c r="N69" i="49"/>
  <c r="U68" i="49"/>
  <c r="N68" i="49"/>
  <c r="T67" i="49"/>
  <c r="S67" i="49"/>
  <c r="R67" i="49"/>
  <c r="Q67" i="49"/>
  <c r="P67" i="49"/>
  <c r="O67" i="49"/>
  <c r="M67" i="49"/>
  <c r="L67" i="49"/>
  <c r="K67" i="49"/>
  <c r="U66" i="49"/>
  <c r="N66" i="49"/>
  <c r="U65" i="49"/>
  <c r="N65" i="49"/>
  <c r="T64" i="49"/>
  <c r="S64" i="49"/>
  <c r="U64" i="49" s="1"/>
  <c r="R64" i="49"/>
  <c r="Q64" i="49"/>
  <c r="P64" i="49"/>
  <c r="O64" i="49"/>
  <c r="M64" i="49"/>
  <c r="L64" i="49"/>
  <c r="K64" i="49"/>
  <c r="N64" i="49" s="1"/>
  <c r="U63" i="49"/>
  <c r="N63" i="49"/>
  <c r="U62" i="49"/>
  <c r="N62" i="49"/>
  <c r="T61" i="49"/>
  <c r="U61" i="49" s="1"/>
  <c r="S61" i="49"/>
  <c r="R61" i="49"/>
  <c r="Q61" i="49"/>
  <c r="P61" i="49"/>
  <c r="O61" i="49"/>
  <c r="M61" i="49"/>
  <c r="L61" i="49"/>
  <c r="K61" i="49"/>
  <c r="U60" i="49"/>
  <c r="N60" i="49"/>
  <c r="U59" i="49"/>
  <c r="N59" i="49"/>
  <c r="T58" i="49"/>
  <c r="S58" i="49"/>
  <c r="R58" i="49"/>
  <c r="P58" i="49"/>
  <c r="M58" i="49"/>
  <c r="L58" i="49"/>
  <c r="K58" i="49"/>
  <c r="U57" i="49"/>
  <c r="Q57" i="49"/>
  <c r="O57" i="49"/>
  <c r="N57" i="49"/>
  <c r="U56" i="49"/>
  <c r="N56" i="49"/>
  <c r="O56" i="49" s="1"/>
  <c r="O55" i="49" s="1"/>
  <c r="T55" i="49"/>
  <c r="S55" i="49"/>
  <c r="U55" i="49" s="1"/>
  <c r="R55" i="49"/>
  <c r="P55" i="49"/>
  <c r="M55" i="49"/>
  <c r="L55" i="49"/>
  <c r="K55" i="49"/>
  <c r="U54" i="49"/>
  <c r="N54" i="49"/>
  <c r="O54" i="49" s="1"/>
  <c r="T53" i="49"/>
  <c r="N53" i="49"/>
  <c r="Q53" i="49" s="1"/>
  <c r="S52" i="49"/>
  <c r="R52" i="49"/>
  <c r="P52" i="49"/>
  <c r="M52" i="49"/>
  <c r="L52" i="49"/>
  <c r="K52" i="49"/>
  <c r="U50" i="49"/>
  <c r="N50" i="49"/>
  <c r="U49" i="49"/>
  <c r="N49" i="49"/>
  <c r="T48" i="49"/>
  <c r="S48" i="49"/>
  <c r="R48" i="49"/>
  <c r="Q48" i="49"/>
  <c r="P48" i="49"/>
  <c r="O48" i="49"/>
  <c r="M48" i="49"/>
  <c r="L48" i="49"/>
  <c r="K48" i="49"/>
  <c r="U47" i="49"/>
  <c r="N47" i="49"/>
  <c r="U46" i="49"/>
  <c r="N46" i="49"/>
  <c r="T45" i="49"/>
  <c r="S45" i="49"/>
  <c r="U45" i="49" s="1"/>
  <c r="R45" i="49"/>
  <c r="Q45" i="49"/>
  <c r="P45" i="49"/>
  <c r="O45" i="49"/>
  <c r="N45" i="49"/>
  <c r="M45" i="49"/>
  <c r="L45" i="49"/>
  <c r="K45" i="49"/>
  <c r="U44" i="49"/>
  <c r="N44" i="49"/>
  <c r="P44" i="49" s="1"/>
  <c r="U43" i="49"/>
  <c r="P43" i="49"/>
  <c r="P42" i="49" s="1"/>
  <c r="N43" i="49"/>
  <c r="T42" i="49"/>
  <c r="S42" i="49"/>
  <c r="R42" i="49"/>
  <c r="Q42" i="49"/>
  <c r="O42" i="49"/>
  <c r="M42" i="49"/>
  <c r="L42" i="49"/>
  <c r="K42" i="49"/>
  <c r="U41" i="49"/>
  <c r="N41" i="49"/>
  <c r="U40" i="49"/>
  <c r="N40" i="49"/>
  <c r="T39" i="49"/>
  <c r="T35" i="49" s="1"/>
  <c r="S39" i="49"/>
  <c r="U39" i="49" s="1"/>
  <c r="R39" i="49"/>
  <c r="O39" i="49"/>
  <c r="M39" i="49"/>
  <c r="L39" i="49"/>
  <c r="K39" i="49"/>
  <c r="U38" i="49"/>
  <c r="N38" i="49"/>
  <c r="Q38" i="49" s="1"/>
  <c r="U37" i="49"/>
  <c r="N37" i="49"/>
  <c r="Q37" i="49" s="1"/>
  <c r="Q36" i="49" s="1"/>
  <c r="U36" i="49"/>
  <c r="T36" i="49"/>
  <c r="S36" i="49"/>
  <c r="R36" i="49"/>
  <c r="O36" i="49"/>
  <c r="M36" i="49"/>
  <c r="L36" i="49"/>
  <c r="L35" i="49" s="1"/>
  <c r="L34" i="49" s="1"/>
  <c r="K36" i="49"/>
  <c r="U32" i="49"/>
  <c r="N32" i="49"/>
  <c r="U31" i="49"/>
  <c r="N31" i="49"/>
  <c r="U30" i="49"/>
  <c r="T30" i="49"/>
  <c r="S30" i="49"/>
  <c r="R30" i="49"/>
  <c r="Q30" i="49"/>
  <c r="P30" i="49"/>
  <c r="O30" i="49"/>
  <c r="M30" i="49"/>
  <c r="L30" i="49"/>
  <c r="K30" i="49"/>
  <c r="U29" i="49"/>
  <c r="Q29" i="49"/>
  <c r="N29" i="49"/>
  <c r="P29" i="49" s="1"/>
  <c r="U28" i="49"/>
  <c r="N28" i="49"/>
  <c r="T27" i="49"/>
  <c r="S27" i="49"/>
  <c r="U27" i="49" s="1"/>
  <c r="R27" i="49"/>
  <c r="M27" i="49"/>
  <c r="L27" i="49"/>
  <c r="K27" i="49"/>
  <c r="N27" i="49" s="1"/>
  <c r="U26" i="49"/>
  <c r="N26" i="49"/>
  <c r="U25" i="49"/>
  <c r="P25" i="49"/>
  <c r="O25" i="49"/>
  <c r="N25" i="49"/>
  <c r="Q25" i="49" s="1"/>
  <c r="T24" i="49"/>
  <c r="S24" i="49"/>
  <c r="R24" i="49"/>
  <c r="M24" i="49"/>
  <c r="L24" i="49"/>
  <c r="L20" i="49" s="1"/>
  <c r="L19" i="49" s="1"/>
  <c r="L18" i="49" s="1"/>
  <c r="K24" i="49"/>
  <c r="U23" i="49"/>
  <c r="N23" i="49"/>
  <c r="U22" i="49"/>
  <c r="N22" i="49"/>
  <c r="T21" i="49"/>
  <c r="S21" i="49"/>
  <c r="U21" i="49" s="1"/>
  <c r="R21" i="49"/>
  <c r="R20" i="49" s="1"/>
  <c r="R19" i="49" s="1"/>
  <c r="R18" i="49" s="1"/>
  <c r="Q21" i="49"/>
  <c r="P21" i="49"/>
  <c r="O21" i="49"/>
  <c r="M21" i="49"/>
  <c r="L21" i="49"/>
  <c r="K21" i="49"/>
  <c r="N21" i="49" s="1"/>
  <c r="M20" i="49"/>
  <c r="M19" i="49" s="1"/>
  <c r="M18" i="49" s="1"/>
  <c r="U16" i="49"/>
  <c r="N16" i="49"/>
  <c r="U15" i="49"/>
  <c r="N15" i="49"/>
  <c r="T14" i="49"/>
  <c r="U14" i="49" s="1"/>
  <c r="S14" i="49"/>
  <c r="S10" i="49" s="1"/>
  <c r="S9" i="49" s="1"/>
  <c r="R14" i="49"/>
  <c r="Q14" i="49"/>
  <c r="P14" i="49"/>
  <c r="O14" i="49"/>
  <c r="M14" i="49"/>
  <c r="L14" i="49"/>
  <c r="K14" i="49"/>
  <c r="U13" i="49"/>
  <c r="N13" i="49"/>
  <c r="U12" i="49"/>
  <c r="N12" i="49"/>
  <c r="T11" i="49"/>
  <c r="U11" i="49" s="1"/>
  <c r="S11" i="49"/>
  <c r="R11" i="49"/>
  <c r="Q11" i="49"/>
  <c r="P11" i="49"/>
  <c r="P10" i="49" s="1"/>
  <c r="P9" i="49" s="1"/>
  <c r="O11" i="49"/>
  <c r="M11" i="49"/>
  <c r="L11" i="49"/>
  <c r="K11" i="49"/>
  <c r="K10" i="49" s="1"/>
  <c r="O10" i="49"/>
  <c r="O9" i="49" s="1"/>
  <c r="L10" i="49"/>
  <c r="L9" i="49" s="1"/>
  <c r="Z25" i="37" l="1"/>
  <c r="J24" i="37"/>
  <c r="Z24" i="37" s="1"/>
  <c r="N24" i="49"/>
  <c r="O35" i="49"/>
  <c r="O34" i="49" s="1"/>
  <c r="N42" i="49"/>
  <c r="U53" i="49"/>
  <c r="T52" i="49"/>
  <c r="V4" i="37"/>
  <c r="Y74" i="37"/>
  <c r="K74" i="37"/>
  <c r="S47" i="37"/>
  <c r="R97" i="49"/>
  <c r="R84" i="49" s="1"/>
  <c r="Q213" i="49"/>
  <c r="AB18" i="37"/>
  <c r="L17" i="37"/>
  <c r="AB17" i="37" s="1"/>
  <c r="O59" i="49"/>
  <c r="O58" i="49" s="1"/>
  <c r="Q59" i="49"/>
  <c r="Q58" i="49" s="1"/>
  <c r="T10" i="49"/>
  <c r="T9" i="49" s="1"/>
  <c r="N14" i="49"/>
  <c r="R51" i="49"/>
  <c r="N67" i="49"/>
  <c r="O80" i="49"/>
  <c r="Q80" i="49"/>
  <c r="Q97" i="49"/>
  <c r="Q84" i="49" s="1"/>
  <c r="N126" i="49"/>
  <c r="O125" i="49"/>
  <c r="O112" i="49" s="1"/>
  <c r="O111" i="49" s="1"/>
  <c r="O110" i="49" s="1"/>
  <c r="AB38" i="37"/>
  <c r="L37" i="37"/>
  <c r="AB37" i="37" s="1"/>
  <c r="U48" i="37"/>
  <c r="N48" i="37"/>
  <c r="V48" i="37"/>
  <c r="V47" i="37" s="1"/>
  <c r="V166" i="37" s="1"/>
  <c r="Z61" i="37"/>
  <c r="O79" i="49"/>
  <c r="O78" i="49" s="1"/>
  <c r="O77" i="49" s="1"/>
  <c r="O76" i="49" s="1"/>
  <c r="Q79" i="49"/>
  <c r="Q78" i="49" s="1"/>
  <c r="Q77" i="49" s="1"/>
  <c r="Q76" i="49" s="1"/>
  <c r="H213" i="51"/>
  <c r="H212" i="51" s="1"/>
  <c r="K35" i="49"/>
  <c r="K34" i="49" s="1"/>
  <c r="Z37" i="37"/>
  <c r="AA48" i="37"/>
  <c r="Q61" i="37"/>
  <c r="N30" i="49"/>
  <c r="Q54" i="49"/>
  <c r="T20" i="49"/>
  <c r="T19" i="49" s="1"/>
  <c r="S51" i="49"/>
  <c r="Q56" i="49"/>
  <c r="Q55" i="49" s="1"/>
  <c r="T76" i="49"/>
  <c r="U76" i="49" s="1"/>
  <c r="N81" i="49"/>
  <c r="N88" i="49"/>
  <c r="N147" i="49"/>
  <c r="T154" i="49"/>
  <c r="T153" i="49" s="1"/>
  <c r="T151" i="49" s="1"/>
  <c r="U170" i="49"/>
  <c r="N207" i="49"/>
  <c r="R74" i="37"/>
  <c r="Z74" i="37"/>
  <c r="Z47" i="37" s="1"/>
  <c r="R35" i="49"/>
  <c r="R34" i="49" s="1"/>
  <c r="R33" i="49" s="1"/>
  <c r="R17" i="49" s="1"/>
  <c r="R8" i="49" s="1"/>
  <c r="M10" i="49"/>
  <c r="M9" i="49" s="1"/>
  <c r="M51" i="49"/>
  <c r="P51" i="49"/>
  <c r="P125" i="49"/>
  <c r="P243" i="49"/>
  <c r="S9" i="37"/>
  <c r="S4" i="37" s="1"/>
  <c r="S166" i="37" s="1"/>
  <c r="AB12" i="37"/>
  <c r="L11" i="37"/>
  <c r="O37" i="37"/>
  <c r="J48" i="37"/>
  <c r="I48" i="37"/>
  <c r="Q48" i="37"/>
  <c r="Y48" i="37"/>
  <c r="R10" i="49"/>
  <c r="R9" i="49" s="1"/>
  <c r="N39" i="49"/>
  <c r="L51" i="49"/>
  <c r="P76" i="49"/>
  <c r="M194" i="49"/>
  <c r="J9" i="37"/>
  <c r="J4" i="37" s="1"/>
  <c r="Z4" i="37" s="1"/>
  <c r="L24" i="37"/>
  <c r="AB24" i="37" s="1"/>
  <c r="Q24" i="37"/>
  <c r="P37" i="37"/>
  <c r="M48" i="37"/>
  <c r="T61" i="37"/>
  <c r="Z91" i="37"/>
  <c r="N120" i="37"/>
  <c r="N48" i="49"/>
  <c r="U48" i="49"/>
  <c r="N73" i="49"/>
  <c r="N122" i="49"/>
  <c r="M125" i="49"/>
  <c r="M112" i="49" s="1"/>
  <c r="M111" i="49" s="1"/>
  <c r="M110" i="49" s="1"/>
  <c r="Q125" i="49"/>
  <c r="Q112" i="49" s="1"/>
  <c r="Q111" i="49" s="1"/>
  <c r="Q110" i="49" s="1"/>
  <c r="N189" i="49"/>
  <c r="O195" i="49"/>
  <c r="R213" i="49"/>
  <c r="N222" i="49"/>
  <c r="Q243" i="49"/>
  <c r="O257" i="49"/>
  <c r="T269" i="49"/>
  <c r="R269" i="49"/>
  <c r="N273" i="49"/>
  <c r="AA6" i="37"/>
  <c r="K11" i="37"/>
  <c r="AA11" i="37" s="1"/>
  <c r="I17" i="37"/>
  <c r="Y17" i="37" s="1"/>
  <c r="AA31" i="37"/>
  <c r="K37" i="37"/>
  <c r="Y42" i="37"/>
  <c r="O61" i="37"/>
  <c r="AB94" i="37"/>
  <c r="L93" i="37"/>
  <c r="L92" i="37" s="1"/>
  <c r="T91" i="37"/>
  <c r="T47" i="37" s="1"/>
  <c r="T166" i="37" s="1"/>
  <c r="AE79" i="51"/>
  <c r="U119" i="49"/>
  <c r="N168" i="49"/>
  <c r="P195" i="49"/>
  <c r="P194" i="49" s="1"/>
  <c r="U214" i="49"/>
  <c r="U247" i="49"/>
  <c r="Q281" i="49"/>
  <c r="T4" i="37"/>
  <c r="W10" i="37"/>
  <c r="W9" i="37" s="1"/>
  <c r="W4" i="37" s="1"/>
  <c r="Z17" i="37"/>
  <c r="W74" i="37"/>
  <c r="W47" i="37" s="1"/>
  <c r="W166" i="37" s="1"/>
  <c r="M91" i="37"/>
  <c r="U91" i="37"/>
  <c r="AD50" i="51"/>
  <c r="Y49" i="51"/>
  <c r="Z50" i="51"/>
  <c r="Z49" i="51" s="1"/>
  <c r="AJ55" i="51"/>
  <c r="AK55" i="51" s="1"/>
  <c r="AD251" i="51"/>
  <c r="AC250" i="51"/>
  <c r="AD250" i="51" s="1"/>
  <c r="O143" i="49"/>
  <c r="O142" i="49" s="1"/>
  <c r="Q194" i="49"/>
  <c r="Z26" i="37"/>
  <c r="Z29" i="37"/>
  <c r="Y33" i="37"/>
  <c r="AA42" i="37"/>
  <c r="J74" i="37"/>
  <c r="J47" i="37" s="1"/>
  <c r="X74" i="37"/>
  <c r="S91" i="37"/>
  <c r="V120" i="37"/>
  <c r="AB120" i="37"/>
  <c r="AH126" i="51"/>
  <c r="AF125" i="51"/>
  <c r="AF117" i="51" s="1"/>
  <c r="U58" i="49"/>
  <c r="N70" i="49"/>
  <c r="U70" i="49"/>
  <c r="U94" i="49"/>
  <c r="O97" i="49"/>
  <c r="N104" i="49"/>
  <c r="K125" i="49"/>
  <c r="U137" i="49"/>
  <c r="P213" i="49"/>
  <c r="P141" i="49" s="1"/>
  <c r="N240" i="49"/>
  <c r="U240" i="49"/>
  <c r="Q257" i="49"/>
  <c r="Q256" i="49" s="1"/>
  <c r="N300" i="49"/>
  <c r="Y12" i="37"/>
  <c r="Q10" i="37"/>
  <c r="Q9" i="37" s="1"/>
  <c r="AA26" i="37"/>
  <c r="S24" i="37"/>
  <c r="Z33" i="37"/>
  <c r="Y38" i="37"/>
  <c r="AB42" i="37"/>
  <c r="O74" i="37"/>
  <c r="AA120" i="37"/>
  <c r="P97" i="49"/>
  <c r="M97" i="49"/>
  <c r="M84" i="49" s="1"/>
  <c r="M17" i="49" s="1"/>
  <c r="M8" i="49" s="1"/>
  <c r="R125" i="49"/>
  <c r="L125" i="49"/>
  <c r="L112" i="49" s="1"/>
  <c r="L111" i="49" s="1"/>
  <c r="L110" i="49" s="1"/>
  <c r="M153" i="49"/>
  <c r="M151" i="49" s="1"/>
  <c r="N171" i="49"/>
  <c r="N188" i="49"/>
  <c r="S195" i="49"/>
  <c r="N206" i="49"/>
  <c r="N236" i="49"/>
  <c r="N247" i="49"/>
  <c r="R256" i="49"/>
  <c r="K257" i="49"/>
  <c r="P281" i="49"/>
  <c r="P256" i="49" s="1"/>
  <c r="Q74" i="37"/>
  <c r="O91" i="37"/>
  <c r="P120" i="37"/>
  <c r="X120" i="37"/>
  <c r="N58" i="49"/>
  <c r="U67" i="49"/>
  <c r="P116" i="49"/>
  <c r="S125" i="49"/>
  <c r="R143" i="49"/>
  <c r="R142" i="49" s="1"/>
  <c r="U196" i="49"/>
  <c r="O243" i="49"/>
  <c r="P4" i="37"/>
  <c r="P166" i="37" s="1"/>
  <c r="X4" i="37"/>
  <c r="Z15" i="37"/>
  <c r="Z18" i="37"/>
  <c r="Z21" i="37"/>
  <c r="I25" i="37"/>
  <c r="Y25" i="37" s="1"/>
  <c r="AB33" i="37"/>
  <c r="P74" i="37"/>
  <c r="P47" i="37" s="1"/>
  <c r="I91" i="37"/>
  <c r="I47" i="37" s="1"/>
  <c r="Q91" i="37"/>
  <c r="Q47" i="37" s="1"/>
  <c r="Y91" i="37"/>
  <c r="L120" i="37"/>
  <c r="AB87" i="37"/>
  <c r="AB74" i="37" s="1"/>
  <c r="J91" i="37"/>
  <c r="R91" i="37"/>
  <c r="I120" i="37"/>
  <c r="U120" i="37"/>
  <c r="U74" i="37"/>
  <c r="AA94" i="37"/>
  <c r="W120" i="37"/>
  <c r="AD48" i="51"/>
  <c r="AC45" i="51"/>
  <c r="AD45" i="51" s="1"/>
  <c r="AJ153" i="51"/>
  <c r="AK154" i="51"/>
  <c r="AB203" i="51"/>
  <c r="AA202" i="51"/>
  <c r="AB202" i="51" s="1"/>
  <c r="AK27" i="51"/>
  <c r="AJ26" i="51"/>
  <c r="AK26" i="51" s="1"/>
  <c r="H167" i="51"/>
  <c r="M74" i="37"/>
  <c r="N91" i="37"/>
  <c r="N47" i="37" s="1"/>
  <c r="N166" i="37" s="1"/>
  <c r="V91" i="37"/>
  <c r="O120" i="37"/>
  <c r="AD49" i="51"/>
  <c r="AD71" i="51"/>
  <c r="AC70" i="51"/>
  <c r="AD70" i="51" s="1"/>
  <c r="AD148" i="51"/>
  <c r="Y147" i="51"/>
  <c r="AD147" i="51" s="1"/>
  <c r="M120" i="37"/>
  <c r="M47" i="37" s="1"/>
  <c r="S120" i="37"/>
  <c r="V10" i="51"/>
  <c r="AA9" i="51"/>
  <c r="H26" i="51"/>
  <c r="H37" i="51"/>
  <c r="AK40" i="51"/>
  <c r="AJ37" i="51"/>
  <c r="AK37" i="51" s="1"/>
  <c r="AB50" i="51"/>
  <c r="AA49" i="51"/>
  <c r="AB49" i="51" s="1"/>
  <c r="V80" i="51"/>
  <c r="AF100" i="51"/>
  <c r="Z100" i="51"/>
  <c r="Z99" i="51" s="1"/>
  <c r="AH118" i="51"/>
  <c r="H146" i="51"/>
  <c r="AD219" i="51"/>
  <c r="V240" i="51"/>
  <c r="V239" i="51" s="1"/>
  <c r="I37" i="51"/>
  <c r="AH47" i="51"/>
  <c r="AH45" i="51" s="1"/>
  <c r="AF45" i="51"/>
  <c r="AF32" i="51" s="1"/>
  <c r="V150" i="51"/>
  <c r="AJ183" i="51"/>
  <c r="AK184" i="51"/>
  <c r="AG190" i="51"/>
  <c r="AH191" i="51"/>
  <c r="AE203" i="51"/>
  <c r="AE202" i="51" s="1"/>
  <c r="AE234" i="51"/>
  <c r="AE229" i="51" s="1"/>
  <c r="AE250" i="51"/>
  <c r="AK75" i="51"/>
  <c r="AJ74" i="51"/>
  <c r="AK74" i="51" s="1"/>
  <c r="Z79" i="51"/>
  <c r="AK160" i="51"/>
  <c r="AJ158" i="51"/>
  <c r="AK158" i="51" s="1"/>
  <c r="AB213" i="51"/>
  <c r="AA212" i="51"/>
  <c r="AB212" i="51" s="1"/>
  <c r="I260" i="51"/>
  <c r="I32" i="51"/>
  <c r="AI32" i="51"/>
  <c r="AI8" i="51" s="1"/>
  <c r="AH49" i="51"/>
  <c r="AH74" i="51"/>
  <c r="AF79" i="51"/>
  <c r="AE92" i="51"/>
  <c r="AD155" i="51"/>
  <c r="AD178" i="51"/>
  <c r="AB268" i="51"/>
  <c r="AH270" i="51"/>
  <c r="AA278" i="51"/>
  <c r="AH58" i="51"/>
  <c r="AF57" i="51"/>
  <c r="I64" i="51"/>
  <c r="I57" i="51" s="1"/>
  <c r="I56" i="51" s="1"/>
  <c r="I79" i="51"/>
  <c r="AJ122" i="51"/>
  <c r="AK122" i="51" s="1"/>
  <c r="AB122" i="51"/>
  <c r="V141" i="51"/>
  <c r="I157" i="51"/>
  <c r="AJ182" i="51"/>
  <c r="AK182" i="51" s="1"/>
  <c r="AB182" i="51"/>
  <c r="AH203" i="51"/>
  <c r="V250" i="51"/>
  <c r="AI260" i="51"/>
  <c r="AD268" i="51"/>
  <c r="AD278" i="51"/>
  <c r="I10" i="51"/>
  <c r="AK23" i="51"/>
  <c r="H64" i="51"/>
  <c r="H57" i="51" s="1"/>
  <c r="AJ92" i="51"/>
  <c r="AK92" i="51" s="1"/>
  <c r="AK93" i="51"/>
  <c r="AA134" i="51"/>
  <c r="AB134" i="51" s="1"/>
  <c r="AB151" i="51"/>
  <c r="Y150" i="51"/>
  <c r="Z190" i="51"/>
  <c r="Z146" i="51" s="1"/>
  <c r="H191" i="51"/>
  <c r="H190" i="51" s="1"/>
  <c r="I218" i="51"/>
  <c r="V234" i="51"/>
  <c r="V229" i="51" s="1"/>
  <c r="AE286" i="51"/>
  <c r="V76" i="51"/>
  <c r="AG79" i="51"/>
  <c r="AH111" i="51"/>
  <c r="AE111" i="51"/>
  <c r="I114" i="51"/>
  <c r="AH123" i="51"/>
  <c r="AD127" i="51"/>
  <c r="AE135" i="51"/>
  <c r="AE134" i="51" s="1"/>
  <c r="I168" i="51"/>
  <c r="I167" i="51" s="1"/>
  <c r="I183" i="51"/>
  <c r="AK209" i="51"/>
  <c r="AK268" i="51"/>
  <c r="AK275" i="51"/>
  <c r="I278" i="51"/>
  <c r="AK281" i="51"/>
  <c r="AB287" i="51"/>
  <c r="H45" i="51"/>
  <c r="V71" i="51"/>
  <c r="Y79" i="51"/>
  <c r="Y56" i="51" s="1"/>
  <c r="AH97" i="51"/>
  <c r="AK101" i="51"/>
  <c r="AC100" i="51"/>
  <c r="M99" i="51" s="1"/>
  <c r="I105" i="51"/>
  <c r="H121" i="51"/>
  <c r="H117" i="51" s="1"/>
  <c r="H99" i="51" s="1"/>
  <c r="AE126" i="51"/>
  <c r="AB141" i="51"/>
  <c r="AE150" i="51"/>
  <c r="AH158" i="51"/>
  <c r="AE157" i="51"/>
  <c r="AC157" i="51"/>
  <c r="AC146" i="51" s="1"/>
  <c r="AF157" i="51"/>
  <c r="AC178" i="51"/>
  <c r="AK200" i="51"/>
  <c r="AD203" i="51"/>
  <c r="AD213" i="51"/>
  <c r="V213" i="51"/>
  <c r="V212" i="51" s="1"/>
  <c r="AF218" i="51"/>
  <c r="I240" i="51"/>
  <c r="I239" i="51" s="1"/>
  <c r="AH251" i="51"/>
  <c r="AH257" i="51"/>
  <c r="AC260" i="51"/>
  <c r="AD260" i="51" s="1"/>
  <c r="AK264" i="51"/>
  <c r="AK265" i="51"/>
  <c r="AF9" i="51"/>
  <c r="AE10" i="51"/>
  <c r="AE9" i="51" s="1"/>
  <c r="AH26" i="51"/>
  <c r="V50" i="51"/>
  <c r="V49" i="51" s="1"/>
  <c r="AG70" i="51"/>
  <c r="AF70" i="51"/>
  <c r="AB74" i="51"/>
  <c r="AB92" i="51"/>
  <c r="AB97" i="51"/>
  <c r="AK97" i="51"/>
  <c r="AH114" i="51"/>
  <c r="AG121" i="51"/>
  <c r="AH121" i="51" s="1"/>
  <c r="AK132" i="51"/>
  <c r="AE140" i="51"/>
  <c r="AA190" i="51"/>
  <c r="AB190" i="51" s="1"/>
  <c r="I234" i="51"/>
  <c r="I229" i="51" s="1"/>
  <c r="AE261" i="51"/>
  <c r="AE260" i="51" s="1"/>
  <c r="Z9" i="51"/>
  <c r="Z8" i="51" s="1"/>
  <c r="AE37" i="51"/>
  <c r="AH57" i="51"/>
  <c r="AE64" i="51"/>
  <c r="AJ80" i="51"/>
  <c r="AK80" i="51" s="1"/>
  <c r="AC79" i="51"/>
  <c r="AG100" i="51"/>
  <c r="AH100" i="51" s="1"/>
  <c r="R99" i="51" s="1"/>
  <c r="AK119" i="51"/>
  <c r="AD122" i="51"/>
  <c r="V125" i="51"/>
  <c r="AB132" i="51"/>
  <c r="AH141" i="51"/>
  <c r="AK149" i="51"/>
  <c r="AB155" i="51"/>
  <c r="AJ163" i="51"/>
  <c r="AK163" i="51" s="1"/>
  <c r="AJ168" i="51"/>
  <c r="AC190" i="51"/>
  <c r="AD190" i="51" s="1"/>
  <c r="AB219" i="51"/>
  <c r="AE219" i="51"/>
  <c r="AE218" i="51" s="1"/>
  <c r="AK227" i="51"/>
  <c r="AG245" i="51"/>
  <c r="AH245" i="51" s="1"/>
  <c r="AC270" i="51"/>
  <c r="AD270" i="51" s="1"/>
  <c r="AD289" i="51"/>
  <c r="H23" i="51"/>
  <c r="H9" i="51" s="1"/>
  <c r="AE26" i="51"/>
  <c r="AE48" i="51"/>
  <c r="AE45" i="51" s="1"/>
  <c r="AE32" i="51" s="1"/>
  <c r="AJ58" i="51"/>
  <c r="AK81" i="51"/>
  <c r="AD97" i="51"/>
  <c r="AD101" i="51"/>
  <c r="AE105" i="51"/>
  <c r="AE100" i="51" s="1"/>
  <c r="O99" i="51" s="1"/>
  <c r="AB111" i="51"/>
  <c r="AA125" i="51"/>
  <c r="AD130" i="51"/>
  <c r="AD144" i="51"/>
  <c r="AC150" i="51"/>
  <c r="AG157" i="51"/>
  <c r="AB165" i="51"/>
  <c r="AB168" i="51"/>
  <c r="AD200" i="51"/>
  <c r="AB218" i="51"/>
  <c r="H251" i="51"/>
  <c r="AB257" i="51"/>
  <c r="Z260" i="51"/>
  <c r="Z211" i="51" s="1"/>
  <c r="Z278" i="51"/>
  <c r="AJ10" i="51"/>
  <c r="AK10" i="51" s="1"/>
  <c r="I23" i="51"/>
  <c r="AB26" i="51"/>
  <c r="Z57" i="51"/>
  <c r="Z56" i="51" s="1"/>
  <c r="I58" i="51"/>
  <c r="AJ64" i="51"/>
  <c r="AK64" i="51" s="1"/>
  <c r="AI70" i="51"/>
  <c r="AI56" i="51" s="1"/>
  <c r="AB79" i="51"/>
  <c r="Y100" i="51"/>
  <c r="AD111" i="51"/>
  <c r="AD123" i="51"/>
  <c r="AC125" i="51"/>
  <c r="Y140" i="51"/>
  <c r="AB140" i="51" s="1"/>
  <c r="AA157" i="51"/>
  <c r="Y157" i="51"/>
  <c r="AH161" i="51"/>
  <c r="AJ178" i="51"/>
  <c r="AK178" i="51" s="1"/>
  <c r="AD183" i="51"/>
  <c r="AK183" i="51"/>
  <c r="AI191" i="51"/>
  <c r="AI190" i="51" s="1"/>
  <c r="AI146" i="51" s="1"/>
  <c r="I203" i="51"/>
  <c r="I202" i="51" s="1"/>
  <c r="AJ213" i="51"/>
  <c r="AC218" i="51"/>
  <c r="AD218" i="51" s="1"/>
  <c r="AK231" i="51"/>
  <c r="AK232" i="51"/>
  <c r="AK233" i="51"/>
  <c r="AH234" i="51"/>
  <c r="AD257" i="51"/>
  <c r="AI279" i="51"/>
  <c r="AI278" i="51" s="1"/>
  <c r="AK287" i="51"/>
  <c r="AB23" i="51"/>
  <c r="Y9" i="51"/>
  <c r="AC32" i="51"/>
  <c r="AD37" i="51"/>
  <c r="H79" i="51"/>
  <c r="AD79" i="51"/>
  <c r="AC56" i="51"/>
  <c r="AD56" i="51" s="1"/>
  <c r="AH79" i="51"/>
  <c r="AG56" i="51"/>
  <c r="Q99" i="51"/>
  <c r="I117" i="51"/>
  <c r="AD23" i="51"/>
  <c r="AC9" i="51"/>
  <c r="AF56" i="51"/>
  <c r="AH70" i="51"/>
  <c r="AH10" i="51"/>
  <c r="AH23" i="51"/>
  <c r="AG9" i="51"/>
  <c r="AK33" i="51"/>
  <c r="AB37" i="51"/>
  <c r="Y32" i="51"/>
  <c r="V37" i="51"/>
  <c r="V32" i="51" s="1"/>
  <c r="V26" i="51" s="1"/>
  <c r="V9" i="51" s="1"/>
  <c r="V8" i="51" s="1"/>
  <c r="AJ45" i="51"/>
  <c r="AK45" i="51" s="1"/>
  <c r="AK47" i="51"/>
  <c r="AK58" i="51"/>
  <c r="AJ57" i="51"/>
  <c r="V70" i="51"/>
  <c r="AK77" i="51"/>
  <c r="AJ76" i="51"/>
  <c r="AK76" i="51" s="1"/>
  <c r="V92" i="51"/>
  <c r="V79" i="51" s="1"/>
  <c r="I100" i="51"/>
  <c r="AK123" i="51"/>
  <c r="AJ121" i="51"/>
  <c r="AK121" i="51" s="1"/>
  <c r="AD150" i="51"/>
  <c r="AK105" i="51"/>
  <c r="AJ100" i="51"/>
  <c r="AD26" i="51"/>
  <c r="I26" i="51"/>
  <c r="I9" i="51" s="1"/>
  <c r="I8" i="51" s="1"/>
  <c r="AG32" i="51"/>
  <c r="AH37" i="51"/>
  <c r="AE57" i="51"/>
  <c r="AE70" i="51"/>
  <c r="AK71" i="51"/>
  <c r="AJ70" i="51"/>
  <c r="AK70" i="51" s="1"/>
  <c r="V105" i="51"/>
  <c r="V100" i="51" s="1"/>
  <c r="AI99" i="51"/>
  <c r="V157" i="51"/>
  <c r="AC167" i="51"/>
  <c r="AD176" i="51"/>
  <c r="AB47" i="51"/>
  <c r="AK60" i="51"/>
  <c r="V58" i="51" s="1"/>
  <c r="V57" i="51" s="1"/>
  <c r="AK66" i="51"/>
  <c r="AA70" i="51"/>
  <c r="AB70" i="51" s="1"/>
  <c r="AK98" i="51"/>
  <c r="AK106" i="51"/>
  <c r="AK112" i="51"/>
  <c r="AG117" i="51"/>
  <c r="AB118" i="51"/>
  <c r="AK118" i="51"/>
  <c r="V118" i="51"/>
  <c r="V117" i="51" s="1"/>
  <c r="AC121" i="51"/>
  <c r="AB127" i="51"/>
  <c r="V135" i="51"/>
  <c r="V134" i="51" s="1"/>
  <c r="AK144" i="51"/>
  <c r="AK148" i="51"/>
  <c r="AJ147" i="51"/>
  <c r="AK153" i="51"/>
  <c r="AH163" i="51"/>
  <c r="AB176" i="51"/>
  <c r="Y167" i="51"/>
  <c r="AH287" i="51"/>
  <c r="AE47" i="51"/>
  <c r="V114" i="51"/>
  <c r="V140" i="51"/>
  <c r="AH218" i="51"/>
  <c r="AA45" i="51"/>
  <c r="AA57" i="51"/>
  <c r="AK115" i="51"/>
  <c r="AE123" i="51"/>
  <c r="AB130" i="51"/>
  <c r="AJ131" i="51"/>
  <c r="AB131" i="51"/>
  <c r="AH132" i="51"/>
  <c r="AJ135" i="51"/>
  <c r="AJ141" i="51"/>
  <c r="AB148" i="51"/>
  <c r="AA147" i="51"/>
  <c r="AA150" i="51"/>
  <c r="AB150" i="51" s="1"/>
  <c r="AB153" i="51"/>
  <c r="AJ155" i="51"/>
  <c r="AK155" i="51" s="1"/>
  <c r="AK156" i="51"/>
  <c r="AJ161" i="51"/>
  <c r="AK162" i="51"/>
  <c r="V168" i="51"/>
  <c r="AD132" i="51"/>
  <c r="AA100" i="51"/>
  <c r="V111" i="51"/>
  <c r="AB123" i="51"/>
  <c r="AA121" i="51"/>
  <c r="Y125" i="51"/>
  <c r="Y117" i="51" s="1"/>
  <c r="AD125" i="51"/>
  <c r="I125" i="51"/>
  <c r="AD151" i="51"/>
  <c r="AH157" i="51"/>
  <c r="AD165" i="51"/>
  <c r="AK168" i="51"/>
  <c r="AH176" i="51"/>
  <c r="AG167" i="51"/>
  <c r="AH230" i="51"/>
  <c r="AG229" i="51"/>
  <c r="AE127" i="51"/>
  <c r="AE125" i="51" s="1"/>
  <c r="AB183" i="51"/>
  <c r="V183" i="51"/>
  <c r="V191" i="51"/>
  <c r="V190" i="51" s="1"/>
  <c r="AE191" i="51"/>
  <c r="AE190" i="51" s="1"/>
  <c r="AJ191" i="51"/>
  <c r="AK192" i="51"/>
  <c r="AH200" i="51"/>
  <c r="AK213" i="51"/>
  <c r="AJ212" i="51"/>
  <c r="H219" i="51"/>
  <c r="H218" i="51" s="1"/>
  <c r="AH227" i="51"/>
  <c r="AB245" i="51"/>
  <c r="AE122" i="51"/>
  <c r="AC140" i="51"/>
  <c r="AD140" i="51" s="1"/>
  <c r="AG140" i="51"/>
  <c r="AH140" i="51" s="1"/>
  <c r="AA178" i="51"/>
  <c r="V178" i="51"/>
  <c r="AE182" i="51"/>
  <c r="AF190" i="51"/>
  <c r="AF146" i="51" s="1"/>
  <c r="V203" i="51"/>
  <c r="V202" i="51" s="1"/>
  <c r="AJ219" i="51"/>
  <c r="V219" i="51"/>
  <c r="V218" i="51" s="1"/>
  <c r="AA260" i="51"/>
  <c r="AB260" i="51" s="1"/>
  <c r="AH279" i="51"/>
  <c r="AG278" i="51"/>
  <c r="AE181" i="51"/>
  <c r="AE178" i="51" s="1"/>
  <c r="AE167" i="51" s="1"/>
  <c r="I191" i="51"/>
  <c r="I190" i="51" s="1"/>
  <c r="I146" i="51" s="1"/>
  <c r="AJ203" i="51"/>
  <c r="AK206" i="51"/>
  <c r="AB209" i="51"/>
  <c r="AA208" i="51"/>
  <c r="AB208" i="51" s="1"/>
  <c r="Y229" i="51"/>
  <c r="AD230" i="51"/>
  <c r="AC229" i="51"/>
  <c r="AI230" i="51"/>
  <c r="AK238" i="51"/>
  <c r="AJ234" i="51"/>
  <c r="AD245" i="51"/>
  <c r="V260" i="51"/>
  <c r="AH266" i="51"/>
  <c r="AF260" i="51"/>
  <c r="AF211" i="51" s="1"/>
  <c r="AE271" i="51"/>
  <c r="AE270" i="51" s="1"/>
  <c r="AD287" i="51"/>
  <c r="AC286" i="51"/>
  <c r="AD286" i="51" s="1"/>
  <c r="AI286" i="51"/>
  <c r="AJ208" i="51"/>
  <c r="AK208" i="51" s="1"/>
  <c r="AB234" i="51"/>
  <c r="AA239" i="51"/>
  <c r="AB240" i="51"/>
  <c r="AH240" i="51"/>
  <c r="AG239" i="51"/>
  <c r="AH239" i="51" s="1"/>
  <c r="AK241" i="51"/>
  <c r="AJ240" i="51"/>
  <c r="AB246" i="51"/>
  <c r="AK247" i="51"/>
  <c r="AJ246" i="51"/>
  <c r="AA250" i="51"/>
  <c r="AB250" i="51" s="1"/>
  <c r="AK252" i="51"/>
  <c r="AJ251" i="51"/>
  <c r="V271" i="51"/>
  <c r="V270" i="51" s="1"/>
  <c r="I271" i="51"/>
  <c r="I270" i="51" s="1"/>
  <c r="AJ271" i="51"/>
  <c r="AK273" i="51"/>
  <c r="AB279" i="51"/>
  <c r="AJ279" i="51"/>
  <c r="AK280" i="51"/>
  <c r="AF278" i="51"/>
  <c r="AG289" i="51"/>
  <c r="AH289" i="51" s="1"/>
  <c r="AH290" i="51"/>
  <c r="AD234" i="51"/>
  <c r="AD240" i="51"/>
  <c r="AC239" i="51"/>
  <c r="AD239" i="51" s="1"/>
  <c r="AD246" i="51"/>
  <c r="H250" i="51"/>
  <c r="AK262" i="51"/>
  <c r="AJ261" i="51"/>
  <c r="AK272" i="51"/>
  <c r="AI271" i="51"/>
  <c r="AI270" i="51" s="1"/>
  <c r="AB278" i="51"/>
  <c r="AD279" i="51"/>
  <c r="H278" i="51"/>
  <c r="AJ284" i="51"/>
  <c r="AK284" i="51" s="1"/>
  <c r="AK285" i="51"/>
  <c r="AJ289" i="51"/>
  <c r="AA286" i="51"/>
  <c r="AB286" i="51" s="1"/>
  <c r="AA92" i="37"/>
  <c r="AA91" i="37" s="1"/>
  <c r="K91" i="37"/>
  <c r="M4" i="37"/>
  <c r="Q4" i="37"/>
  <c r="U4" i="37"/>
  <c r="O47" i="37"/>
  <c r="O166" i="37" s="1"/>
  <c r="U47" i="37"/>
  <c r="U166" i="37" s="1"/>
  <c r="K25" i="37"/>
  <c r="I37" i="37"/>
  <c r="Y37" i="37" s="1"/>
  <c r="AA89" i="37"/>
  <c r="Y6" i="37"/>
  <c r="I11" i="37"/>
  <c r="K17" i="37"/>
  <c r="AA17" i="37" s="1"/>
  <c r="I24" i="37"/>
  <c r="Y24" i="37" s="1"/>
  <c r="AA87" i="37"/>
  <c r="AA74" i="37" s="1"/>
  <c r="AB89" i="37"/>
  <c r="L33" i="49"/>
  <c r="U73" i="49"/>
  <c r="U189" i="49"/>
  <c r="T188" i="49"/>
  <c r="U188" i="49" s="1"/>
  <c r="N36" i="49"/>
  <c r="M35" i="49"/>
  <c r="M34" i="49" s="1"/>
  <c r="M33" i="49" s="1"/>
  <c r="N11" i="49"/>
  <c r="T18" i="49"/>
  <c r="K20" i="49"/>
  <c r="T34" i="49"/>
  <c r="Q41" i="49"/>
  <c r="P41" i="49"/>
  <c r="K143" i="49"/>
  <c r="N144" i="49"/>
  <c r="Q28" i="49"/>
  <c r="Q27" i="49" s="1"/>
  <c r="P28" i="49"/>
  <c r="P27" i="49" s="1"/>
  <c r="O28" i="49"/>
  <c r="N35" i="49"/>
  <c r="Q40" i="49"/>
  <c r="P40" i="49"/>
  <c r="P39" i="49" s="1"/>
  <c r="N76" i="49"/>
  <c r="T51" i="49"/>
  <c r="U51" i="49" s="1"/>
  <c r="U52" i="49"/>
  <c r="K9" i="49"/>
  <c r="Q10" i="49"/>
  <c r="Q9" i="49" s="1"/>
  <c r="Q26" i="49"/>
  <c r="Q24" i="49" s="1"/>
  <c r="Q20" i="49" s="1"/>
  <c r="Q19" i="49" s="1"/>
  <c r="Q18" i="49" s="1"/>
  <c r="P26" i="49"/>
  <c r="P24" i="49" s="1"/>
  <c r="O26" i="49"/>
  <c r="O24" i="49" s="1"/>
  <c r="U42" i="49"/>
  <c r="N52" i="49"/>
  <c r="K51" i="49"/>
  <c r="N51" i="49" s="1"/>
  <c r="O53" i="49"/>
  <c r="O52" i="49" s="1"/>
  <c r="O51" i="49" s="1"/>
  <c r="O33" i="49" s="1"/>
  <c r="Q52" i="49"/>
  <c r="Q51" i="49" s="1"/>
  <c r="K97" i="49"/>
  <c r="N98" i="49"/>
  <c r="N77" i="49"/>
  <c r="L97" i="49"/>
  <c r="U98" i="49"/>
  <c r="R115" i="49"/>
  <c r="R113" i="49" s="1"/>
  <c r="R112" i="49" s="1"/>
  <c r="R111" i="49" s="1"/>
  <c r="R110" i="49" s="1"/>
  <c r="P115" i="49"/>
  <c r="N196" i="49"/>
  <c r="K195" i="49"/>
  <c r="N258" i="49"/>
  <c r="M257" i="49"/>
  <c r="M256" i="49" s="1"/>
  <c r="N257" i="49"/>
  <c r="S20" i="49"/>
  <c r="U24" i="49"/>
  <c r="O29" i="49"/>
  <c r="P37" i="49"/>
  <c r="P38" i="49"/>
  <c r="N55" i="49"/>
  <c r="K87" i="49"/>
  <c r="O87" i="49"/>
  <c r="O86" i="49" s="1"/>
  <c r="O85" i="49" s="1"/>
  <c r="O84" i="49" s="1"/>
  <c r="S87" i="49"/>
  <c r="S86" i="49" s="1"/>
  <c r="S85" i="49" s="1"/>
  <c r="S84" i="49" s="1"/>
  <c r="N94" i="49"/>
  <c r="N101" i="49"/>
  <c r="U101" i="49"/>
  <c r="T125" i="49"/>
  <c r="U125" i="49" s="1"/>
  <c r="S35" i="49"/>
  <c r="S34" i="49" s="1"/>
  <c r="S33" i="49" s="1"/>
  <c r="N61" i="49"/>
  <c r="N78" i="49"/>
  <c r="L87" i="49"/>
  <c r="L86" i="49" s="1"/>
  <c r="L85" i="49" s="1"/>
  <c r="L84" i="49" s="1"/>
  <c r="P87" i="49"/>
  <c r="P86" i="49" s="1"/>
  <c r="P85" i="49" s="1"/>
  <c r="P84" i="49" s="1"/>
  <c r="N113" i="49"/>
  <c r="K112" i="49"/>
  <c r="N116" i="49"/>
  <c r="U116" i="49"/>
  <c r="T112" i="49"/>
  <c r="N125" i="49"/>
  <c r="Q153" i="49"/>
  <c r="Q151" i="49" s="1"/>
  <c r="Q141" i="49" s="1"/>
  <c r="U147" i="49"/>
  <c r="T144" i="49"/>
  <c r="R154" i="49"/>
  <c r="R153" i="49" s="1"/>
  <c r="R151" i="49" s="1"/>
  <c r="N170" i="49"/>
  <c r="U222" i="49"/>
  <c r="N235" i="49"/>
  <c r="U236" i="49"/>
  <c r="T235" i="49"/>
  <c r="U235" i="49" s="1"/>
  <c r="U273" i="49"/>
  <c r="O281" i="49"/>
  <c r="S281" i="49"/>
  <c r="U300" i="49"/>
  <c r="T87" i="49"/>
  <c r="T97" i="49"/>
  <c r="U97" i="49" s="1"/>
  <c r="S112" i="49"/>
  <c r="S111" i="49" s="1"/>
  <c r="S110" i="49" s="1"/>
  <c r="P114" i="49"/>
  <c r="U130" i="49"/>
  <c r="K154" i="49"/>
  <c r="O154" i="49"/>
  <c r="O153" i="49" s="1"/>
  <c r="O151" i="49" s="1"/>
  <c r="S154" i="49"/>
  <c r="S153" i="49" s="1"/>
  <c r="S151" i="49" s="1"/>
  <c r="U151" i="49" s="1"/>
  <c r="N218" i="49"/>
  <c r="T213" i="49"/>
  <c r="U213" i="49" s="1"/>
  <c r="U218" i="49"/>
  <c r="N231" i="49"/>
  <c r="N244" i="49"/>
  <c r="M243" i="49"/>
  <c r="M141" i="49" s="1"/>
  <c r="R243" i="49"/>
  <c r="K269" i="49"/>
  <c r="N269" i="49" s="1"/>
  <c r="O269" i="49"/>
  <c r="O256" i="49" s="1"/>
  <c r="S269" i="49"/>
  <c r="U269" i="49" s="1"/>
  <c r="N282" i="49"/>
  <c r="K281" i="49"/>
  <c r="K256" i="49" s="1"/>
  <c r="U282" i="49"/>
  <c r="N295" i="49"/>
  <c r="N296" i="49"/>
  <c r="U296" i="49"/>
  <c r="T295" i="49"/>
  <c r="U295" i="49" s="1"/>
  <c r="O194" i="49"/>
  <c r="K213" i="49"/>
  <c r="N213" i="49" s="1"/>
  <c r="O213" i="49"/>
  <c r="L281" i="49"/>
  <c r="L256" i="49" s="1"/>
  <c r="L141" i="49" s="1"/>
  <c r="N285" i="49"/>
  <c r="T195" i="49"/>
  <c r="S206" i="49"/>
  <c r="U206" i="49" s="1"/>
  <c r="S213" i="49"/>
  <c r="T281" i="49"/>
  <c r="U281" i="49" s="1"/>
  <c r="S243" i="49"/>
  <c r="U243" i="49" s="1"/>
  <c r="S257" i="49"/>
  <c r="Z294" i="51" l="1"/>
  <c r="U10" i="49"/>
  <c r="K47" i="37"/>
  <c r="AE211" i="51"/>
  <c r="AE146" i="51"/>
  <c r="AH32" i="51"/>
  <c r="AJ50" i="51"/>
  <c r="Y47" i="37"/>
  <c r="J166" i="37"/>
  <c r="AA47" i="37"/>
  <c r="AD157" i="51"/>
  <c r="AD100" i="51"/>
  <c r="N99" i="51" s="1"/>
  <c r="H56" i="51"/>
  <c r="AF8" i="51"/>
  <c r="H32" i="51"/>
  <c r="H8" i="51" s="1"/>
  <c r="AB92" i="37"/>
  <c r="AB91" i="37" s="1"/>
  <c r="AB47" i="37" s="1"/>
  <c r="L91" i="37"/>
  <c r="L47" i="37" s="1"/>
  <c r="R47" i="37"/>
  <c r="R166" i="37" s="1"/>
  <c r="V211" i="51"/>
  <c r="AH125" i="51"/>
  <c r="AH117" i="51"/>
  <c r="AJ79" i="51"/>
  <c r="AK79" i="51" s="1"/>
  <c r="AJ9" i="51"/>
  <c r="O141" i="49"/>
  <c r="R141" i="49"/>
  <c r="R7" i="49" s="1"/>
  <c r="L17" i="49"/>
  <c r="L8" i="49" s="1"/>
  <c r="L7" i="49" s="1"/>
  <c r="I211" i="51"/>
  <c r="V167" i="51"/>
  <c r="V146" i="51" s="1"/>
  <c r="AB157" i="51"/>
  <c r="P99" i="51"/>
  <c r="AF99" i="51"/>
  <c r="K10" i="37"/>
  <c r="Q166" i="37"/>
  <c r="Y146" i="51"/>
  <c r="AD146" i="51" s="1"/>
  <c r="N10" i="49"/>
  <c r="V56" i="51"/>
  <c r="N243" i="49"/>
  <c r="Q39" i="49"/>
  <c r="Q35" i="49" s="1"/>
  <c r="Q34" i="49" s="1"/>
  <c r="Q33" i="49" s="1"/>
  <c r="K33" i="49"/>
  <c r="AH260" i="51"/>
  <c r="AJ167" i="51"/>
  <c r="AK167" i="51" s="1"/>
  <c r="Y99" i="51"/>
  <c r="AH56" i="51"/>
  <c r="AD32" i="51"/>
  <c r="X47" i="37"/>
  <c r="X166" i="37" s="1"/>
  <c r="AA37" i="37"/>
  <c r="AB11" i="37"/>
  <c r="L10" i="37"/>
  <c r="AF294" i="51"/>
  <c r="AH229" i="51"/>
  <c r="AJ32" i="51"/>
  <c r="AK32" i="51" s="1"/>
  <c r="V99" i="51"/>
  <c r="AC211" i="51"/>
  <c r="AD229" i="51"/>
  <c r="AB45" i="51"/>
  <c r="AA32" i="51"/>
  <c r="AG99" i="51"/>
  <c r="AH99" i="51" s="1"/>
  <c r="AD9" i="51"/>
  <c r="AC8" i="51"/>
  <c r="H211" i="51"/>
  <c r="AK261" i="51"/>
  <c r="AJ260" i="51"/>
  <c r="AK260" i="51" s="1"/>
  <c r="AJ239" i="51"/>
  <c r="AK239" i="51" s="1"/>
  <c r="AK240" i="51"/>
  <c r="AJ229" i="51"/>
  <c r="AK234" i="51"/>
  <c r="AH278" i="51"/>
  <c r="AK219" i="51"/>
  <c r="AJ218" i="51"/>
  <c r="AK218" i="51" s="1"/>
  <c r="AE121" i="51"/>
  <c r="AE117" i="51" s="1"/>
  <c r="AE99" i="51" s="1"/>
  <c r="AK212" i="51"/>
  <c r="AJ190" i="51"/>
  <c r="AK190" i="51" s="1"/>
  <c r="AK191" i="51"/>
  <c r="AK161" i="51"/>
  <c r="AJ157" i="51"/>
  <c r="AK157" i="51" s="1"/>
  <c r="AK141" i="51"/>
  <c r="AJ140" i="51"/>
  <c r="AK140" i="51" s="1"/>
  <c r="AK131" i="51"/>
  <c r="AJ125" i="51"/>
  <c r="AK125" i="51" s="1"/>
  <c r="AJ150" i="51"/>
  <c r="AK150" i="51" s="1"/>
  <c r="AD121" i="51"/>
  <c r="AC117" i="51"/>
  <c r="AK100" i="51"/>
  <c r="I99" i="51"/>
  <c r="AE8" i="51"/>
  <c r="AK251" i="51"/>
  <c r="AJ250" i="51"/>
  <c r="AK250" i="51" s="1"/>
  <c r="AK230" i="51"/>
  <c r="AI229" i="51"/>
  <c r="AI211" i="51" s="1"/>
  <c r="AI294" i="51" s="1"/>
  <c r="AH167" i="51"/>
  <c r="AG146" i="51"/>
  <c r="AH146" i="51" s="1"/>
  <c r="AA117" i="51"/>
  <c r="AB117" i="51" s="1"/>
  <c r="AB121" i="51"/>
  <c r="AB147" i="51"/>
  <c r="AB57" i="51"/>
  <c r="AA56" i="51"/>
  <c r="AB56" i="51" s="1"/>
  <c r="AK271" i="51"/>
  <c r="AJ270" i="51"/>
  <c r="AK270" i="51" s="1"/>
  <c r="AK289" i="51"/>
  <c r="AJ286" i="51"/>
  <c r="AK286" i="51" s="1"/>
  <c r="AJ278" i="51"/>
  <c r="AK278" i="51" s="1"/>
  <c r="AK279" i="51"/>
  <c r="AJ245" i="51"/>
  <c r="AK245" i="51" s="1"/>
  <c r="AK246" i="51"/>
  <c r="AB239" i="51"/>
  <c r="AA211" i="51"/>
  <c r="Y211" i="51"/>
  <c r="AB229" i="51"/>
  <c r="AK203" i="51"/>
  <c r="AJ202" i="51"/>
  <c r="AK202" i="51" s="1"/>
  <c r="AB178" i="51"/>
  <c r="AA167" i="51"/>
  <c r="AB167" i="51" s="1"/>
  <c r="AH190" i="51"/>
  <c r="AB100" i="51"/>
  <c r="L99" i="51" s="1"/>
  <c r="K99" i="51"/>
  <c r="AK135" i="51"/>
  <c r="AJ134" i="51"/>
  <c r="AK134" i="51" s="1"/>
  <c r="AG286" i="51"/>
  <c r="AH286" i="51" s="1"/>
  <c r="AK147" i="51"/>
  <c r="AD167" i="51"/>
  <c r="AE56" i="51"/>
  <c r="AB125" i="51"/>
  <c r="AJ56" i="51"/>
  <c r="AK56" i="51" s="1"/>
  <c r="AK57" i="51"/>
  <c r="AH9" i="51"/>
  <c r="AG8" i="51"/>
  <c r="Y8" i="51"/>
  <c r="AB9" i="51"/>
  <c r="AK9" i="51"/>
  <c r="K9" i="37"/>
  <c r="AA10" i="37"/>
  <c r="AA9" i="37" s="1"/>
  <c r="K24" i="37"/>
  <c r="AA24" i="37" s="1"/>
  <c r="AA25" i="37"/>
  <c r="I10" i="37"/>
  <c r="Y11" i="37"/>
  <c r="M166" i="37"/>
  <c r="M7" i="49"/>
  <c r="U34" i="49"/>
  <c r="T33" i="49"/>
  <c r="U33" i="49" s="1"/>
  <c r="P36" i="49"/>
  <c r="P35" i="49" s="1"/>
  <c r="P34" i="49" s="1"/>
  <c r="P33" i="49" s="1"/>
  <c r="K194" i="49"/>
  <c r="N194" i="49" s="1"/>
  <c r="N195" i="49"/>
  <c r="U35" i="49"/>
  <c r="U9" i="49"/>
  <c r="N33" i="49"/>
  <c r="U195" i="49"/>
  <c r="T194" i="49"/>
  <c r="N154" i="49"/>
  <c r="K153" i="49"/>
  <c r="U112" i="49"/>
  <c r="T111" i="49"/>
  <c r="N143" i="49"/>
  <c r="K142" i="49"/>
  <c r="T86" i="49"/>
  <c r="U87" i="49"/>
  <c r="N256" i="49"/>
  <c r="N281" i="49"/>
  <c r="P113" i="49"/>
  <c r="P112" i="49" s="1"/>
  <c r="P111" i="49" s="1"/>
  <c r="P110" i="49" s="1"/>
  <c r="T256" i="49"/>
  <c r="T143" i="49"/>
  <c r="U144" i="49"/>
  <c r="U153" i="49"/>
  <c r="K86" i="49"/>
  <c r="N87" i="49"/>
  <c r="P20" i="49"/>
  <c r="P19" i="49" s="1"/>
  <c r="P18" i="49" s="1"/>
  <c r="U154" i="49"/>
  <c r="N34" i="49"/>
  <c r="S19" i="49"/>
  <c r="U20" i="49"/>
  <c r="Q17" i="49"/>
  <c r="Q8" i="49" s="1"/>
  <c r="Q7" i="49" s="1"/>
  <c r="S256" i="49"/>
  <c r="S194" i="49"/>
  <c r="U257" i="49"/>
  <c r="N112" i="49"/>
  <c r="N111" i="49" s="1"/>
  <c r="K111" i="49"/>
  <c r="K110" i="49" s="1"/>
  <c r="N110" i="49" s="1"/>
  <c r="N97" i="49"/>
  <c r="N9" i="49"/>
  <c r="O27" i="49"/>
  <c r="O20" i="49" s="1"/>
  <c r="O19" i="49" s="1"/>
  <c r="O18" i="49" s="1"/>
  <c r="O17" i="49" s="1"/>
  <c r="O8" i="49" s="1"/>
  <c r="O7" i="49" s="1"/>
  <c r="K19" i="49"/>
  <c r="N20" i="49"/>
  <c r="I294" i="51" l="1"/>
  <c r="H294" i="51"/>
  <c r="V294" i="51"/>
  <c r="Z166" i="37"/>
  <c r="AB10" i="37"/>
  <c r="AB9" i="37" s="1"/>
  <c r="L9" i="37"/>
  <c r="L4" i="37" s="1"/>
  <c r="AB4" i="37" s="1"/>
  <c r="P17" i="49"/>
  <c r="P8" i="49" s="1"/>
  <c r="P7" i="49" s="1"/>
  <c r="AA146" i="51"/>
  <c r="AB146" i="51" s="1"/>
  <c r="AJ49" i="51"/>
  <c r="AK50" i="51"/>
  <c r="S141" i="49"/>
  <c r="U194" i="49"/>
  <c r="AA8" i="51"/>
  <c r="AB32" i="51"/>
  <c r="AB211" i="51"/>
  <c r="Y294" i="51"/>
  <c r="Y296" i="51" s="1"/>
  <c r="AJ117" i="51"/>
  <c r="AK229" i="51"/>
  <c r="AD8" i="51"/>
  <c r="AA99" i="51"/>
  <c r="AB99" i="51" s="1"/>
  <c r="AH8" i="51"/>
  <c r="AJ146" i="51"/>
  <c r="AK146" i="51" s="1"/>
  <c r="AE294" i="51"/>
  <c r="AD117" i="51"/>
  <c r="AC99" i="51"/>
  <c r="AD99" i="51" s="1"/>
  <c r="AJ211" i="51"/>
  <c r="AK211" i="51" s="1"/>
  <c r="AD211" i="51"/>
  <c r="AG211" i="51"/>
  <c r="AH211" i="51" s="1"/>
  <c r="Y10" i="37"/>
  <c r="Y9" i="37" s="1"/>
  <c r="I9" i="37"/>
  <c r="I4" i="37" s="1"/>
  <c r="K4" i="37"/>
  <c r="T142" i="49"/>
  <c r="U143" i="49"/>
  <c r="N86" i="49"/>
  <c r="K85" i="49"/>
  <c r="U111" i="49"/>
  <c r="T110" i="49"/>
  <c r="U110" i="49" s="1"/>
  <c r="N19" i="49"/>
  <c r="K18" i="49"/>
  <c r="T85" i="49"/>
  <c r="U86" i="49"/>
  <c r="U256" i="49"/>
  <c r="S18" i="49"/>
  <c r="U19" i="49"/>
  <c r="N142" i="49"/>
  <c r="K141" i="49"/>
  <c r="N141" i="49" s="1"/>
  <c r="N153" i="49"/>
  <c r="K151" i="49"/>
  <c r="N151" i="49" s="1"/>
  <c r="AC294" i="51" l="1"/>
  <c r="L166" i="37"/>
  <c r="AB166" i="37" s="1"/>
  <c r="AK49" i="51"/>
  <c r="AJ8" i="51"/>
  <c r="AK8" i="51" s="1"/>
  <c r="AG294" i="51"/>
  <c r="AH294" i="51" s="1"/>
  <c r="AD294" i="51"/>
  <c r="AK117" i="51"/>
  <c r="AJ99" i="51"/>
  <c r="AA294" i="51"/>
  <c r="AB294" i="51" s="1"/>
  <c r="AB8" i="51"/>
  <c r="AA4" i="37"/>
  <c r="K166" i="37"/>
  <c r="AA166" i="37" s="1"/>
  <c r="Y4" i="37"/>
  <c r="I166" i="37"/>
  <c r="Y166" i="37" s="1"/>
  <c r="N85" i="49"/>
  <c r="K84" i="49"/>
  <c r="N84" i="49" s="1"/>
  <c r="N18" i="49"/>
  <c r="S17" i="49"/>
  <c r="S8" i="49" s="1"/>
  <c r="S7" i="49" s="1"/>
  <c r="U18" i="49"/>
  <c r="U85" i="49"/>
  <c r="T84" i="49"/>
  <c r="T141" i="49"/>
  <c r="U141" i="49" s="1"/>
  <c r="U142" i="49"/>
  <c r="K17" i="49" l="1"/>
  <c r="AK99" i="51"/>
  <c r="AJ294" i="51"/>
  <c r="AK294" i="51" s="1"/>
  <c r="N17" i="49"/>
  <c r="K8" i="49"/>
  <c r="U84" i="49"/>
  <c r="T17" i="49"/>
  <c r="U17" i="49" l="1"/>
  <c r="T8" i="49"/>
  <c r="K7" i="49"/>
  <c r="N7" i="49" s="1"/>
  <c r="N8" i="49"/>
  <c r="T7" i="49" l="1"/>
  <c r="U7" i="49" s="1"/>
  <c r="U8" i="49"/>
  <c r="I254" i="34" l="1"/>
  <c r="I255" i="34"/>
  <c r="I233" i="34"/>
  <c r="I19" i="34" l="1"/>
  <c r="H19" i="34"/>
  <c r="AI294" i="34"/>
  <c r="AG294" i="34"/>
  <c r="AF294" i="34"/>
  <c r="E295" i="34"/>
  <c r="H295" i="34" s="1"/>
  <c r="F295" i="34"/>
  <c r="I295" i="34" s="1"/>
  <c r="U295" i="34" l="1"/>
  <c r="V295" i="34" s="1"/>
  <c r="V294" i="34" s="1"/>
  <c r="V293" i="34" s="1"/>
  <c r="I294" i="34"/>
  <c r="I293" i="34" s="1"/>
  <c r="H294" i="34"/>
  <c r="H293" i="34" s="1"/>
  <c r="AJ295" i="34"/>
  <c r="AK295" i="34" s="1"/>
  <c r="AH295" i="34"/>
  <c r="AE295" i="34"/>
  <c r="AD295" i="34"/>
  <c r="AB295" i="34"/>
  <c r="AI293" i="34"/>
  <c r="AG293" i="34"/>
  <c r="AF293" i="34"/>
  <c r="AC293" i="34"/>
  <c r="AA293" i="34"/>
  <c r="Z293" i="34"/>
  <c r="Y293" i="34"/>
  <c r="AJ294" i="34"/>
  <c r="AK294" i="34" s="1"/>
  <c r="AH294" i="34"/>
  <c r="AE294" i="34"/>
  <c r="AD294" i="34"/>
  <c r="AB294" i="34"/>
  <c r="AB293" i="34" l="1"/>
  <c r="AJ293" i="34"/>
  <c r="AK293" i="34" s="1"/>
  <c r="AI234" i="34"/>
  <c r="AI10" i="34"/>
  <c r="U243" i="34" l="1"/>
  <c r="U240" i="34" l="1"/>
  <c r="U132" i="34"/>
  <c r="U121" i="34"/>
  <c r="U97" i="34"/>
  <c r="U75" i="34"/>
  <c r="AI111" i="34" l="1"/>
  <c r="AJ11" i="34"/>
  <c r="AK11" i="34" s="1"/>
  <c r="AG183" i="34"/>
  <c r="AD291" i="34" l="1"/>
  <c r="AD273" i="34"/>
  <c r="AD272" i="34"/>
  <c r="AD269" i="34"/>
  <c r="AD267" i="34"/>
  <c r="AD258" i="34"/>
  <c r="AD253" i="34"/>
  <c r="AD233" i="34"/>
  <c r="AD232" i="34"/>
  <c r="AD231" i="34"/>
  <c r="AD226" i="34"/>
  <c r="AD225" i="34"/>
  <c r="AD224" i="34"/>
  <c r="AD222" i="34"/>
  <c r="AD221" i="34"/>
  <c r="AB210" i="34"/>
  <c r="AD189" i="34"/>
  <c r="AD179" i="34"/>
  <c r="AD175" i="34"/>
  <c r="AD172" i="34"/>
  <c r="AD171" i="34"/>
  <c r="AD104" i="34"/>
  <c r="AD96" i="34"/>
  <c r="AD94" i="34"/>
  <c r="U292" i="34" l="1"/>
  <c r="U291" i="34"/>
  <c r="U290" i="34"/>
  <c r="U288" i="34"/>
  <c r="U285" i="34"/>
  <c r="U283" i="34"/>
  <c r="U281" i="34"/>
  <c r="U280" i="34"/>
  <c r="U275" i="34"/>
  <c r="U276" i="34"/>
  <c r="U277" i="34"/>
  <c r="U273" i="34"/>
  <c r="U274" i="34"/>
  <c r="U272" i="34"/>
  <c r="U269" i="34"/>
  <c r="U267" i="34"/>
  <c r="U263" i="34"/>
  <c r="U264" i="34"/>
  <c r="U265" i="34"/>
  <c r="U262" i="34"/>
  <c r="U259" i="34"/>
  <c r="U258" i="34"/>
  <c r="U253" i="34"/>
  <c r="U254" i="34"/>
  <c r="U255" i="34"/>
  <c r="U256" i="34"/>
  <c r="U252" i="34"/>
  <c r="U248" i="34"/>
  <c r="U249" i="34"/>
  <c r="U247" i="34"/>
  <c r="U242" i="34"/>
  <c r="U244" i="34"/>
  <c r="U241" i="34"/>
  <c r="U238" i="34"/>
  <c r="U237" i="34"/>
  <c r="U236" i="34"/>
  <c r="U235" i="34"/>
  <c r="U232" i="34"/>
  <c r="U233" i="34"/>
  <c r="U231" i="34"/>
  <c r="U228" i="34"/>
  <c r="U226" i="34"/>
  <c r="U225" i="34"/>
  <c r="U222" i="34"/>
  <c r="U223" i="34"/>
  <c r="U224" i="34"/>
  <c r="U221" i="34"/>
  <c r="U220" i="34"/>
  <c r="U215" i="34"/>
  <c r="U216" i="34"/>
  <c r="U217" i="34"/>
  <c r="U214" i="34"/>
  <c r="U210" i="34"/>
  <c r="U207" i="34"/>
  <c r="U206" i="34"/>
  <c r="U205" i="34"/>
  <c r="U204" i="34"/>
  <c r="U201" i="34"/>
  <c r="U197" i="34"/>
  <c r="U198" i="34"/>
  <c r="U199" i="34"/>
  <c r="U196" i="34"/>
  <c r="U195" i="34"/>
  <c r="U194" i="34"/>
  <c r="U193" i="34"/>
  <c r="U192" i="34"/>
  <c r="U189" i="34"/>
  <c r="U185" i="34"/>
  <c r="U186" i="34"/>
  <c r="U187" i="34"/>
  <c r="U188" i="34"/>
  <c r="U184" i="34"/>
  <c r="U182" i="34"/>
  <c r="U180" i="34"/>
  <c r="U181" i="34"/>
  <c r="U179" i="34"/>
  <c r="U177" i="34"/>
  <c r="U175" i="34"/>
  <c r="U174" i="34"/>
  <c r="U173" i="34"/>
  <c r="U172" i="34"/>
  <c r="U171" i="34"/>
  <c r="U170" i="34"/>
  <c r="U169" i="34"/>
  <c r="U166" i="34"/>
  <c r="U164" i="34"/>
  <c r="U162" i="34"/>
  <c r="T159" i="34"/>
  <c r="U160" i="34"/>
  <c r="U159" i="34"/>
  <c r="U156" i="34"/>
  <c r="U154" i="34"/>
  <c r="U149" i="34"/>
  <c r="U152" i="34"/>
  <c r="U145" i="34"/>
  <c r="U143" i="34"/>
  <c r="U142" i="34"/>
  <c r="U139" i="34"/>
  <c r="U138" i="34"/>
  <c r="U137" i="34"/>
  <c r="U136" i="34"/>
  <c r="U133" i="34"/>
  <c r="U131" i="34"/>
  <c r="U130" i="34"/>
  <c r="U129" i="34"/>
  <c r="U128" i="34"/>
  <c r="U127" i="34"/>
  <c r="U126" i="34"/>
  <c r="U123" i="34"/>
  <c r="U124" i="34"/>
  <c r="U122" i="34"/>
  <c r="U120" i="34"/>
  <c r="U119" i="34"/>
  <c r="U116" i="34"/>
  <c r="U115" i="34"/>
  <c r="U113" i="34"/>
  <c r="U112" i="34"/>
  <c r="U110" i="34"/>
  <c r="U109" i="34"/>
  <c r="U108" i="34"/>
  <c r="U107" i="34"/>
  <c r="U106" i="34"/>
  <c r="U103" i="34"/>
  <c r="U104" i="34"/>
  <c r="U102" i="34"/>
  <c r="U98" i="34"/>
  <c r="U96" i="34"/>
  <c r="U95" i="34"/>
  <c r="U94" i="34"/>
  <c r="U93" i="34"/>
  <c r="U91" i="34"/>
  <c r="U90" i="34"/>
  <c r="U89" i="34"/>
  <c r="U88" i="34"/>
  <c r="U87" i="34"/>
  <c r="U86" i="34"/>
  <c r="U85" i="34"/>
  <c r="U84" i="34"/>
  <c r="U83" i="34"/>
  <c r="U82" i="34"/>
  <c r="U81" i="34"/>
  <c r="U78" i="34"/>
  <c r="U77" i="34"/>
  <c r="U73" i="34"/>
  <c r="U72" i="34"/>
  <c r="U68" i="34"/>
  <c r="U69" i="34"/>
  <c r="U67" i="34"/>
  <c r="U66" i="34"/>
  <c r="U65" i="34"/>
  <c r="U62" i="34"/>
  <c r="U63" i="34"/>
  <c r="U60" i="34"/>
  <c r="U61" i="34"/>
  <c r="U59" i="34"/>
  <c r="U54" i="34"/>
  <c r="U55" i="34"/>
  <c r="U53" i="34"/>
  <c r="U52" i="34"/>
  <c r="U51" i="34"/>
  <c r="U47" i="34"/>
  <c r="U48" i="34"/>
  <c r="U46" i="34"/>
  <c r="U44" i="34"/>
  <c r="U41" i="34"/>
  <c r="U42" i="34"/>
  <c r="U43" i="34"/>
  <c r="U40" i="34"/>
  <c r="U39" i="34"/>
  <c r="U38" i="34"/>
  <c r="U36" i="34"/>
  <c r="U35" i="34"/>
  <c r="U34" i="34"/>
  <c r="U31" i="34"/>
  <c r="U30" i="34"/>
  <c r="U29" i="34"/>
  <c r="V29" i="34" s="1"/>
  <c r="U28" i="34"/>
  <c r="U27" i="34"/>
  <c r="U25" i="34"/>
  <c r="U24" i="34"/>
  <c r="I38" i="34" l="1"/>
  <c r="H34" i="34"/>
  <c r="AE22" i="34" l="1"/>
  <c r="AE20" i="34"/>
  <c r="AE21" i="34"/>
  <c r="AE19" i="34"/>
  <c r="AE17" i="34"/>
  <c r="AE18" i="34"/>
  <c r="AE16" i="34"/>
  <c r="AE11" i="34"/>
  <c r="Z10" i="34"/>
  <c r="U22" i="34"/>
  <c r="U21" i="34"/>
  <c r="U20" i="34"/>
  <c r="U19" i="34"/>
  <c r="U12" i="34"/>
  <c r="U13" i="34"/>
  <c r="U14" i="34"/>
  <c r="U15" i="34"/>
  <c r="U16" i="34"/>
  <c r="U17" i="34"/>
  <c r="U18" i="34"/>
  <c r="U11" i="34"/>
  <c r="I8" i="48" l="1"/>
  <c r="I7" i="48" s="1"/>
  <c r="J8" i="48"/>
  <c r="J7" i="48" s="1"/>
  <c r="K8" i="48"/>
  <c r="K7" i="48" s="1"/>
  <c r="L8" i="48"/>
  <c r="L7" i="48" s="1"/>
  <c r="M8" i="48"/>
  <c r="M7" i="48" s="1"/>
  <c r="M6" i="48" s="1"/>
  <c r="N8" i="48"/>
  <c r="N7" i="48" s="1"/>
  <c r="N6" i="48" s="1"/>
  <c r="O8" i="48"/>
  <c r="O7" i="48" s="1"/>
  <c r="O6" i="48" s="1"/>
  <c r="P8" i="48"/>
  <c r="P7" i="48" s="1"/>
  <c r="P6" i="48" s="1"/>
  <c r="Q8" i="48"/>
  <c r="Q7" i="48" s="1"/>
  <c r="Q6" i="48" s="1"/>
  <c r="R8" i="48"/>
  <c r="R7" i="48" s="1"/>
  <c r="R6" i="48" s="1"/>
  <c r="S8" i="48"/>
  <c r="S7" i="48" s="1"/>
  <c r="S6" i="48" s="1"/>
  <c r="T8" i="48"/>
  <c r="T7" i="48" s="1"/>
  <c r="T6" i="48" s="1"/>
  <c r="U8" i="48"/>
  <c r="U7" i="48" s="1"/>
  <c r="U6" i="48" s="1"/>
  <c r="V8" i="48"/>
  <c r="V7" i="48" s="1"/>
  <c r="V6" i="48" s="1"/>
  <c r="W8" i="48"/>
  <c r="W7" i="48" s="1"/>
  <c r="W6" i="48" s="1"/>
  <c r="X8" i="48"/>
  <c r="X7" i="48" s="1"/>
  <c r="X6" i="48" s="1"/>
  <c r="Y9" i="48"/>
  <c r="Z9" i="48"/>
  <c r="AA9" i="48"/>
  <c r="AB9" i="48"/>
  <c r="I12" i="48"/>
  <c r="I11" i="48" s="1"/>
  <c r="J12" i="48"/>
  <c r="J11" i="48" s="1"/>
  <c r="K12" i="48"/>
  <c r="K11" i="48" s="1"/>
  <c r="L12" i="48"/>
  <c r="L11" i="48" s="1"/>
  <c r="M12" i="48"/>
  <c r="M11" i="48" s="1"/>
  <c r="M10" i="48" s="1"/>
  <c r="N12" i="48"/>
  <c r="N11" i="48" s="1"/>
  <c r="N10" i="48" s="1"/>
  <c r="O12" i="48"/>
  <c r="O11" i="48" s="1"/>
  <c r="O10" i="48" s="1"/>
  <c r="P12" i="48"/>
  <c r="P11" i="48" s="1"/>
  <c r="P10" i="48" s="1"/>
  <c r="Q12" i="48"/>
  <c r="Q11" i="48" s="1"/>
  <c r="Q10" i="48" s="1"/>
  <c r="R12" i="48"/>
  <c r="R11" i="48" s="1"/>
  <c r="R10" i="48" s="1"/>
  <c r="S12" i="48"/>
  <c r="S11" i="48" s="1"/>
  <c r="S10" i="48" s="1"/>
  <c r="T12" i="48"/>
  <c r="T11" i="48" s="1"/>
  <c r="T10" i="48" s="1"/>
  <c r="U12" i="48"/>
  <c r="U11" i="48" s="1"/>
  <c r="U10" i="48" s="1"/>
  <c r="V12" i="48"/>
  <c r="V11" i="48" s="1"/>
  <c r="V10" i="48" s="1"/>
  <c r="W12" i="48"/>
  <c r="W11" i="48" s="1"/>
  <c r="W10" i="48" s="1"/>
  <c r="X12" i="48"/>
  <c r="X11" i="48" s="1"/>
  <c r="X10" i="48" s="1"/>
  <c r="Y12" i="48"/>
  <c r="Y13" i="48"/>
  <c r="Z13" i="48"/>
  <c r="AA13" i="48"/>
  <c r="AB13" i="48"/>
  <c r="I17" i="48"/>
  <c r="I16" i="48" s="1"/>
  <c r="J17" i="48"/>
  <c r="J16" i="48" s="1"/>
  <c r="K17" i="48"/>
  <c r="K16" i="48" s="1"/>
  <c r="L17" i="48"/>
  <c r="L16" i="48" s="1"/>
  <c r="M17" i="48"/>
  <c r="M16" i="48" s="1"/>
  <c r="M15" i="48" s="1"/>
  <c r="N17" i="48"/>
  <c r="N16" i="48" s="1"/>
  <c r="N15" i="48" s="1"/>
  <c r="O17" i="48"/>
  <c r="O16" i="48" s="1"/>
  <c r="O15" i="48" s="1"/>
  <c r="P17" i="48"/>
  <c r="P16" i="48" s="1"/>
  <c r="P15" i="48" s="1"/>
  <c r="Q17" i="48"/>
  <c r="Q16" i="48" s="1"/>
  <c r="Q15" i="48" s="1"/>
  <c r="R17" i="48"/>
  <c r="R16" i="48" s="1"/>
  <c r="R15" i="48" s="1"/>
  <c r="S17" i="48"/>
  <c r="S16" i="48" s="1"/>
  <c r="S15" i="48" s="1"/>
  <c r="T17" i="48"/>
  <c r="T16" i="48" s="1"/>
  <c r="T15" i="48" s="1"/>
  <c r="U17" i="48"/>
  <c r="U16" i="48" s="1"/>
  <c r="U15" i="48" s="1"/>
  <c r="V17" i="48"/>
  <c r="V16" i="48" s="1"/>
  <c r="V15" i="48" s="1"/>
  <c r="W17" i="48"/>
  <c r="W16" i="48" s="1"/>
  <c r="W15" i="48" s="1"/>
  <c r="X17" i="48"/>
  <c r="X16" i="48" s="1"/>
  <c r="X15" i="48" s="1"/>
  <c r="Y17" i="48"/>
  <c r="Y18" i="48"/>
  <c r="Z18" i="48"/>
  <c r="AA18" i="48"/>
  <c r="AB18" i="48"/>
  <c r="I21" i="48"/>
  <c r="I20" i="48" s="1"/>
  <c r="J21" i="48"/>
  <c r="J20" i="48" s="1"/>
  <c r="K21" i="48"/>
  <c r="K20" i="48" s="1"/>
  <c r="L21" i="48"/>
  <c r="L20" i="48" s="1"/>
  <c r="M21" i="48"/>
  <c r="M20" i="48" s="1"/>
  <c r="M19" i="48" s="1"/>
  <c r="N21" i="48"/>
  <c r="N20" i="48" s="1"/>
  <c r="N19" i="48" s="1"/>
  <c r="O21" i="48"/>
  <c r="O20" i="48" s="1"/>
  <c r="O19" i="48" s="1"/>
  <c r="P21" i="48"/>
  <c r="P20" i="48" s="1"/>
  <c r="P19" i="48" s="1"/>
  <c r="Q21" i="48"/>
  <c r="Q20" i="48" s="1"/>
  <c r="Q19" i="48" s="1"/>
  <c r="R21" i="48"/>
  <c r="R20" i="48" s="1"/>
  <c r="R19" i="48" s="1"/>
  <c r="S21" i="48"/>
  <c r="S20" i="48" s="1"/>
  <c r="S19" i="48" s="1"/>
  <c r="T21" i="48"/>
  <c r="T20" i="48" s="1"/>
  <c r="T19" i="48" s="1"/>
  <c r="U21" i="48"/>
  <c r="U20" i="48" s="1"/>
  <c r="U19" i="48" s="1"/>
  <c r="V21" i="48"/>
  <c r="V20" i="48" s="1"/>
  <c r="V19" i="48" s="1"/>
  <c r="W21" i="48"/>
  <c r="W20" i="48" s="1"/>
  <c r="W19" i="48" s="1"/>
  <c r="X21" i="48"/>
  <c r="X20" i="48" s="1"/>
  <c r="X19" i="48" s="1"/>
  <c r="Y21" i="48"/>
  <c r="Y22" i="48"/>
  <c r="Z22" i="48"/>
  <c r="AA22" i="48"/>
  <c r="AB22" i="48"/>
  <c r="I27" i="48"/>
  <c r="I26" i="48" s="1"/>
  <c r="I25" i="48" s="1"/>
  <c r="J27" i="48"/>
  <c r="J26" i="48" s="1"/>
  <c r="K27" i="48"/>
  <c r="K26" i="48" s="1"/>
  <c r="L27" i="48"/>
  <c r="L26" i="48" s="1"/>
  <c r="M27" i="48"/>
  <c r="M26" i="48" s="1"/>
  <c r="N27" i="48"/>
  <c r="N26" i="48" s="1"/>
  <c r="N25" i="48" s="1"/>
  <c r="O27" i="48"/>
  <c r="O26" i="48" s="1"/>
  <c r="O25" i="48" s="1"/>
  <c r="P27" i="48"/>
  <c r="P26" i="48" s="1"/>
  <c r="P25" i="48" s="1"/>
  <c r="Q27" i="48"/>
  <c r="Q26" i="48" s="1"/>
  <c r="Q25" i="48" s="1"/>
  <c r="R27" i="48"/>
  <c r="R26" i="48" s="1"/>
  <c r="R25" i="48" s="1"/>
  <c r="S27" i="48"/>
  <c r="S26" i="48" s="1"/>
  <c r="S25" i="48" s="1"/>
  <c r="T27" i="48"/>
  <c r="T26" i="48" s="1"/>
  <c r="T25" i="48" s="1"/>
  <c r="U27" i="48"/>
  <c r="U26" i="48" s="1"/>
  <c r="U25" i="48" s="1"/>
  <c r="V27" i="48"/>
  <c r="V26" i="48" s="1"/>
  <c r="V25" i="48" s="1"/>
  <c r="W27" i="48"/>
  <c r="W26" i="48" s="1"/>
  <c r="W25" i="48" s="1"/>
  <c r="X27" i="48"/>
  <c r="X26" i="48" s="1"/>
  <c r="X25" i="48" s="1"/>
  <c r="Y27" i="48"/>
  <c r="Y28" i="48"/>
  <c r="Z28" i="48"/>
  <c r="AA28" i="48"/>
  <c r="AB28" i="48"/>
  <c r="I31" i="48"/>
  <c r="I30" i="48" s="1"/>
  <c r="J31" i="48"/>
  <c r="J30" i="48" s="1"/>
  <c r="K31" i="48"/>
  <c r="K30" i="48" s="1"/>
  <c r="L31" i="48"/>
  <c r="L30" i="48" s="1"/>
  <c r="M31" i="48"/>
  <c r="M30" i="48" s="1"/>
  <c r="M29" i="48" s="1"/>
  <c r="N31" i="48"/>
  <c r="N30" i="48" s="1"/>
  <c r="N29" i="48" s="1"/>
  <c r="O31" i="48"/>
  <c r="O30" i="48" s="1"/>
  <c r="O29" i="48" s="1"/>
  <c r="P31" i="48"/>
  <c r="P30" i="48" s="1"/>
  <c r="P29" i="48" s="1"/>
  <c r="Q31" i="48"/>
  <c r="Q30" i="48" s="1"/>
  <c r="Q29" i="48" s="1"/>
  <c r="R31" i="48"/>
  <c r="R30" i="48" s="1"/>
  <c r="R29" i="48" s="1"/>
  <c r="S31" i="48"/>
  <c r="S30" i="48" s="1"/>
  <c r="S29" i="48" s="1"/>
  <c r="T31" i="48"/>
  <c r="T30" i="48" s="1"/>
  <c r="T29" i="48" s="1"/>
  <c r="U31" i="48"/>
  <c r="U30" i="48" s="1"/>
  <c r="U29" i="48" s="1"/>
  <c r="V31" i="48"/>
  <c r="V30" i="48" s="1"/>
  <c r="V29" i="48" s="1"/>
  <c r="W31" i="48"/>
  <c r="W30" i="48" s="1"/>
  <c r="W29" i="48" s="1"/>
  <c r="X31" i="48"/>
  <c r="X30" i="48" s="1"/>
  <c r="X29" i="48" s="1"/>
  <c r="Y31" i="48"/>
  <c r="Z31" i="48"/>
  <c r="Y32" i="48"/>
  <c r="Z32" i="48"/>
  <c r="AA32" i="48"/>
  <c r="AB32" i="48"/>
  <c r="I36" i="48"/>
  <c r="I35" i="48" s="1"/>
  <c r="J36" i="48"/>
  <c r="J35" i="48" s="1"/>
  <c r="K36" i="48"/>
  <c r="K35" i="48" s="1"/>
  <c r="L36" i="48"/>
  <c r="L35" i="48" s="1"/>
  <c r="M36" i="48"/>
  <c r="M35" i="48" s="1"/>
  <c r="M34" i="48" s="1"/>
  <c r="N36" i="48"/>
  <c r="N35" i="48" s="1"/>
  <c r="N34" i="48" s="1"/>
  <c r="O36" i="48"/>
  <c r="O35" i="48" s="1"/>
  <c r="O34" i="48" s="1"/>
  <c r="P36" i="48"/>
  <c r="P35" i="48" s="1"/>
  <c r="P34" i="48" s="1"/>
  <c r="Q36" i="48"/>
  <c r="Q35" i="48" s="1"/>
  <c r="Q34" i="48" s="1"/>
  <c r="R36" i="48"/>
  <c r="R35" i="48" s="1"/>
  <c r="R34" i="48" s="1"/>
  <c r="S36" i="48"/>
  <c r="S35" i="48" s="1"/>
  <c r="S34" i="48" s="1"/>
  <c r="T36" i="48"/>
  <c r="T35" i="48" s="1"/>
  <c r="T34" i="48" s="1"/>
  <c r="U36" i="48"/>
  <c r="U35" i="48" s="1"/>
  <c r="U34" i="48" s="1"/>
  <c r="V36" i="48"/>
  <c r="V35" i="48" s="1"/>
  <c r="V34" i="48" s="1"/>
  <c r="W36" i="48"/>
  <c r="W35" i="48" s="1"/>
  <c r="W34" i="48" s="1"/>
  <c r="X36" i="48"/>
  <c r="X35" i="48" s="1"/>
  <c r="X34" i="48" s="1"/>
  <c r="Y36" i="48"/>
  <c r="Z36" i="48"/>
  <c r="Y37" i="48"/>
  <c r="Z37" i="48"/>
  <c r="AA37" i="48"/>
  <c r="AB37" i="48"/>
  <c r="I40" i="48"/>
  <c r="I39" i="48" s="1"/>
  <c r="J40" i="48"/>
  <c r="J39" i="48" s="1"/>
  <c r="K40" i="48"/>
  <c r="K39" i="48" s="1"/>
  <c r="L40" i="48"/>
  <c r="L39" i="48" s="1"/>
  <c r="M40" i="48"/>
  <c r="M39" i="48" s="1"/>
  <c r="M38" i="48" s="1"/>
  <c r="N40" i="48"/>
  <c r="N39" i="48" s="1"/>
  <c r="N38" i="48" s="1"/>
  <c r="O40" i="48"/>
  <c r="O39" i="48" s="1"/>
  <c r="O38" i="48" s="1"/>
  <c r="P40" i="48"/>
  <c r="P39" i="48" s="1"/>
  <c r="P38" i="48" s="1"/>
  <c r="Q40" i="48"/>
  <c r="Q39" i="48" s="1"/>
  <c r="Q38" i="48" s="1"/>
  <c r="R40" i="48"/>
  <c r="R39" i="48" s="1"/>
  <c r="R38" i="48" s="1"/>
  <c r="S40" i="48"/>
  <c r="S39" i="48" s="1"/>
  <c r="S38" i="48" s="1"/>
  <c r="T40" i="48"/>
  <c r="T39" i="48" s="1"/>
  <c r="T38" i="48" s="1"/>
  <c r="U40" i="48"/>
  <c r="U39" i="48" s="1"/>
  <c r="U38" i="48" s="1"/>
  <c r="V40" i="48"/>
  <c r="V39" i="48" s="1"/>
  <c r="V38" i="48" s="1"/>
  <c r="W40" i="48"/>
  <c r="W39" i="48" s="1"/>
  <c r="W38" i="48" s="1"/>
  <c r="X40" i="48"/>
  <c r="X39" i="48" s="1"/>
  <c r="X38" i="48" s="1"/>
  <c r="Y40" i="48"/>
  <c r="Z40" i="48"/>
  <c r="AA40" i="48"/>
  <c r="Y41" i="48"/>
  <c r="Z41" i="48"/>
  <c r="AA41" i="48"/>
  <c r="AB41" i="48"/>
  <c r="AE293" i="34"/>
  <c r="AE291" i="34"/>
  <c r="AE290" i="34"/>
  <c r="AE288" i="34"/>
  <c r="AE285" i="34"/>
  <c r="AE283" i="34"/>
  <c r="AE281" i="34"/>
  <c r="AE280" i="34"/>
  <c r="AE277" i="34"/>
  <c r="AE276" i="34"/>
  <c r="AE275" i="34"/>
  <c r="AE274" i="34"/>
  <c r="AE273" i="34"/>
  <c r="AE272" i="34"/>
  <c r="AE269" i="34"/>
  <c r="AE267" i="34"/>
  <c r="AE265" i="34"/>
  <c r="AE264" i="34"/>
  <c r="AE263" i="34"/>
  <c r="AE262" i="34"/>
  <c r="AE259" i="34"/>
  <c r="AE258" i="34"/>
  <c r="AE256" i="34"/>
  <c r="AE255" i="34"/>
  <c r="AE254" i="34"/>
  <c r="AE253" i="34"/>
  <c r="AE252" i="34"/>
  <c r="AE249" i="34"/>
  <c r="AE248" i="34"/>
  <c r="AE247" i="34"/>
  <c r="AE244" i="34"/>
  <c r="AE243" i="34"/>
  <c r="AE242" i="34"/>
  <c r="AE241" i="34"/>
  <c r="AE238" i="34"/>
  <c r="AE237" i="34"/>
  <c r="AE236" i="34"/>
  <c r="AE235" i="34"/>
  <c r="AE233" i="34"/>
  <c r="AE232" i="34"/>
  <c r="AE231" i="34"/>
  <c r="AE228" i="34"/>
  <c r="AE226" i="34"/>
  <c r="AE225" i="34"/>
  <c r="AE224" i="34"/>
  <c r="AE223" i="34"/>
  <c r="AE222" i="34"/>
  <c r="AE221" i="34"/>
  <c r="AE220" i="34"/>
  <c r="AE217" i="34"/>
  <c r="AE216" i="34"/>
  <c r="AE215" i="34"/>
  <c r="AE214" i="34"/>
  <c r="AE207" i="34"/>
  <c r="AE206" i="34"/>
  <c r="AE201" i="34"/>
  <c r="AE199" i="34"/>
  <c r="AE198" i="34"/>
  <c r="AE197" i="34"/>
  <c r="AE195" i="34"/>
  <c r="AE194" i="34"/>
  <c r="AE193" i="34"/>
  <c r="AE192" i="34"/>
  <c r="AE189" i="34"/>
  <c r="AE188" i="34"/>
  <c r="AE187" i="34"/>
  <c r="AE186" i="34"/>
  <c r="AE185" i="34"/>
  <c r="AE184" i="34"/>
  <c r="AE180" i="34"/>
  <c r="AE179" i="34"/>
  <c r="AE177" i="34"/>
  <c r="AE175" i="34"/>
  <c r="AE173" i="34"/>
  <c r="AE172" i="34"/>
  <c r="AE171" i="34"/>
  <c r="AE169" i="34"/>
  <c r="AE166" i="34"/>
  <c r="AE162" i="34"/>
  <c r="AE159" i="34"/>
  <c r="AE156" i="34"/>
  <c r="AE154" i="34"/>
  <c r="AE152" i="34"/>
  <c r="AE149" i="34"/>
  <c r="AE145" i="34"/>
  <c r="AE143" i="34"/>
  <c r="AE142" i="34"/>
  <c r="AE139" i="34"/>
  <c r="AE138" i="34"/>
  <c r="AE137" i="34"/>
  <c r="AE136" i="34"/>
  <c r="AE133" i="34"/>
  <c r="AE129" i="34"/>
  <c r="AE128" i="34"/>
  <c r="AE124" i="34"/>
  <c r="AE120" i="34"/>
  <c r="AE119" i="34"/>
  <c r="AE116" i="34"/>
  <c r="AE115" i="34"/>
  <c r="AE113" i="34"/>
  <c r="AE112" i="34"/>
  <c r="AE109" i="34"/>
  <c r="AE108" i="34"/>
  <c r="AE107" i="34"/>
  <c r="AE106" i="34"/>
  <c r="AE104" i="34"/>
  <c r="AE103" i="34"/>
  <c r="AE102" i="34"/>
  <c r="AE98" i="34"/>
  <c r="AE96" i="34"/>
  <c r="AE95" i="34"/>
  <c r="AE94" i="34"/>
  <c r="AE93" i="34"/>
  <c r="AE91" i="34"/>
  <c r="AE90" i="34"/>
  <c r="AE89" i="34"/>
  <c r="AE88" i="34"/>
  <c r="AE87" i="34"/>
  <c r="AE83" i="34"/>
  <c r="AE81" i="34"/>
  <c r="AE78" i="34"/>
  <c r="AE72" i="34"/>
  <c r="AE67" i="34"/>
  <c r="AE66" i="34"/>
  <c r="AE62" i="34"/>
  <c r="AE60" i="34"/>
  <c r="AE55" i="34"/>
  <c r="AE53" i="34"/>
  <c r="AE46" i="34"/>
  <c r="AE44" i="34"/>
  <c r="AE42" i="34"/>
  <c r="AE41" i="34"/>
  <c r="AE40" i="34"/>
  <c r="AE39" i="34"/>
  <c r="AE38" i="34"/>
  <c r="AE36" i="34"/>
  <c r="AE35" i="34"/>
  <c r="AE34" i="34"/>
  <c r="AE31" i="34"/>
  <c r="AE30" i="34"/>
  <c r="AE29" i="34"/>
  <c r="AE28" i="34"/>
  <c r="AE27" i="34"/>
  <c r="AE25" i="34"/>
  <c r="AE24" i="34"/>
  <c r="AE15" i="34"/>
  <c r="AE14" i="34"/>
  <c r="AE13" i="34"/>
  <c r="AE12" i="34"/>
  <c r="AH293" i="34"/>
  <c r="AD293" i="34"/>
  <c r="AF127" i="34"/>
  <c r="AF126" i="34"/>
  <c r="AG123" i="34"/>
  <c r="AG122" i="34"/>
  <c r="AF123" i="34"/>
  <c r="AF122" i="34"/>
  <c r="AF48" i="34"/>
  <c r="AF47" i="34"/>
  <c r="AG290" i="34"/>
  <c r="AF290" i="34"/>
  <c r="AG280" i="34"/>
  <c r="AF280" i="34"/>
  <c r="AF192" i="34"/>
  <c r="AG192" i="34"/>
  <c r="X33" i="48" l="1"/>
  <c r="P33" i="48"/>
  <c r="AB21" i="48"/>
  <c r="AB17" i="48"/>
  <c r="AB12" i="48"/>
  <c r="AA8" i="48"/>
  <c r="T33" i="48"/>
  <c r="AB31" i="48"/>
  <c r="AA27" i="48"/>
  <c r="AA21" i="48"/>
  <c r="AA17" i="48"/>
  <c r="AA12" i="48"/>
  <c r="Z8" i="48"/>
  <c r="AB40" i="48"/>
  <c r="AA36" i="48"/>
  <c r="AA31" i="48"/>
  <c r="Z27" i="48"/>
  <c r="Z21" i="48"/>
  <c r="Z17" i="48"/>
  <c r="Z12" i="48"/>
  <c r="Y8" i="48"/>
  <c r="AB8" i="48"/>
  <c r="T14" i="48"/>
  <c r="X5" i="48"/>
  <c r="AB27" i="48"/>
  <c r="W23" i="48"/>
  <c r="S23" i="48"/>
  <c r="O23" i="48"/>
  <c r="Q23" i="48"/>
  <c r="W14" i="48"/>
  <c r="W3" i="48" s="1"/>
  <c r="S14" i="48"/>
  <c r="O14" i="48"/>
  <c r="W5" i="48"/>
  <c r="S5" i="48"/>
  <c r="O5" i="48"/>
  <c r="T5" i="48"/>
  <c r="W33" i="48"/>
  <c r="S33" i="48"/>
  <c r="O33" i="48"/>
  <c r="V14" i="48"/>
  <c r="R14" i="48"/>
  <c r="N14" i="48"/>
  <c r="K34" i="48"/>
  <c r="AA35" i="48"/>
  <c r="P23" i="48"/>
  <c r="X14" i="48"/>
  <c r="I38" i="48"/>
  <c r="Y38" i="48" s="1"/>
  <c r="Y39" i="48"/>
  <c r="L34" i="48"/>
  <c r="AB35" i="48"/>
  <c r="L29" i="48"/>
  <c r="AB29" i="48" s="1"/>
  <c r="AB30" i="48"/>
  <c r="L38" i="48"/>
  <c r="AB38" i="48" s="1"/>
  <c r="AB39" i="48"/>
  <c r="K38" i="48"/>
  <c r="AA38" i="48" s="1"/>
  <c r="AA39" i="48"/>
  <c r="V33" i="48"/>
  <c r="R33" i="48"/>
  <c r="N33" i="48"/>
  <c r="J34" i="48"/>
  <c r="Z35" i="48"/>
  <c r="Z30" i="48"/>
  <c r="J29" i="48"/>
  <c r="Z29" i="48" s="1"/>
  <c r="U23" i="48"/>
  <c r="M25" i="48"/>
  <c r="M23" i="48" s="1"/>
  <c r="Y26" i="48"/>
  <c r="L10" i="48"/>
  <c r="AB10" i="48" s="1"/>
  <c r="AB11" i="48"/>
  <c r="J38" i="48"/>
  <c r="Z38" i="48" s="1"/>
  <c r="Z39" i="48"/>
  <c r="U33" i="48"/>
  <c r="Q33" i="48"/>
  <c r="M33" i="48"/>
  <c r="I34" i="48"/>
  <c r="Y35" i="48"/>
  <c r="Y30" i="48"/>
  <c r="I29" i="48"/>
  <c r="Y29" i="48" s="1"/>
  <c r="T23" i="48"/>
  <c r="AB26" i="48"/>
  <c r="L25" i="48"/>
  <c r="X23" i="48"/>
  <c r="AB20" i="48"/>
  <c r="L19" i="48"/>
  <c r="AB19" i="48" s="1"/>
  <c r="P14" i="48"/>
  <c r="L15" i="48"/>
  <c r="AB16" i="48"/>
  <c r="P5" i="48"/>
  <c r="AB7" i="48"/>
  <c r="L6" i="48"/>
  <c r="R23" i="48"/>
  <c r="J25" i="48"/>
  <c r="Z26" i="48"/>
  <c r="K29" i="48"/>
  <c r="AA29" i="48" s="1"/>
  <c r="AA30" i="48"/>
  <c r="K19" i="48"/>
  <c r="AA19" i="48" s="1"/>
  <c r="AA20" i="48"/>
  <c r="U14" i="48"/>
  <c r="Q14" i="48"/>
  <c r="M14" i="48"/>
  <c r="I15" i="48"/>
  <c r="Y16" i="48"/>
  <c r="V5" i="48"/>
  <c r="R5" i="48"/>
  <c r="N5" i="48"/>
  <c r="J6" i="48"/>
  <c r="Z7" i="48"/>
  <c r="AB36" i="48"/>
  <c r="N23" i="48"/>
  <c r="J15" i="48"/>
  <c r="Z16" i="48"/>
  <c r="I10" i="48"/>
  <c r="Y10" i="48" s="1"/>
  <c r="Y11" i="48"/>
  <c r="K6" i="48"/>
  <c r="AA7" i="48"/>
  <c r="J19" i="48"/>
  <c r="Z19" i="48" s="1"/>
  <c r="Z20" i="48"/>
  <c r="K10" i="48"/>
  <c r="AA10" i="48" s="1"/>
  <c r="AA11" i="48"/>
  <c r="U5" i="48"/>
  <c r="Q5" i="48"/>
  <c r="M5" i="48"/>
  <c r="I6" i="48"/>
  <c r="Y7" i="48"/>
  <c r="V23" i="48"/>
  <c r="W4" i="48"/>
  <c r="K25" i="48"/>
  <c r="AA26" i="48"/>
  <c r="I19" i="48"/>
  <c r="Y19" i="48" s="1"/>
  <c r="Y20" i="48"/>
  <c r="K15" i="48"/>
  <c r="AA16" i="48"/>
  <c r="J10" i="48"/>
  <c r="Z10" i="48" s="1"/>
  <c r="Z11" i="48"/>
  <c r="AD292" i="34"/>
  <c r="AD290" i="34"/>
  <c r="AD288" i="34"/>
  <c r="AD285" i="34"/>
  <c r="AD283" i="34"/>
  <c r="AD281" i="34"/>
  <c r="AD280" i="34"/>
  <c r="AD277" i="34"/>
  <c r="AD276" i="34"/>
  <c r="AD275" i="34"/>
  <c r="AD274" i="34"/>
  <c r="AD265" i="34"/>
  <c r="AD264" i="34"/>
  <c r="AD263" i="34"/>
  <c r="AD262" i="34"/>
  <c r="AD259" i="34"/>
  <c r="AD256" i="34"/>
  <c r="AD255" i="34"/>
  <c r="AD254" i="34"/>
  <c r="AD252" i="34"/>
  <c r="AD249" i="34"/>
  <c r="AD248" i="34"/>
  <c r="AD247" i="34"/>
  <c r="AD244" i="34"/>
  <c r="AD243" i="34"/>
  <c r="AD242" i="34"/>
  <c r="AD241" i="34"/>
  <c r="AD238" i="34"/>
  <c r="AD237" i="34"/>
  <c r="AD236" i="34"/>
  <c r="AD235" i="34"/>
  <c r="AD228" i="34"/>
  <c r="AD223" i="34"/>
  <c r="AD220" i="34"/>
  <c r="AD217" i="34"/>
  <c r="AD216" i="34"/>
  <c r="AD215" i="34"/>
  <c r="AD214" i="34"/>
  <c r="AD210" i="34"/>
  <c r="AD207" i="34"/>
  <c r="AD206" i="34"/>
  <c r="AD205" i="34"/>
  <c r="AD204" i="34"/>
  <c r="AD201" i="34"/>
  <c r="AD199" i="34"/>
  <c r="AD198" i="34"/>
  <c r="AD197" i="34"/>
  <c r="AD196" i="34"/>
  <c r="AD195" i="34"/>
  <c r="AD194" i="34"/>
  <c r="AD193" i="34"/>
  <c r="AD192" i="34"/>
  <c r="AD188" i="34"/>
  <c r="AD187" i="34"/>
  <c r="AD186" i="34"/>
  <c r="AD185" i="34"/>
  <c r="AD184" i="34"/>
  <c r="AD180" i="34"/>
  <c r="AD177" i="34"/>
  <c r="AD174" i="34"/>
  <c r="AD173" i="34"/>
  <c r="AD170" i="34"/>
  <c r="AD169" i="34"/>
  <c r="AD166" i="34"/>
  <c r="AD164" i="34"/>
  <c r="AD162" i="34"/>
  <c r="AD160" i="34"/>
  <c r="AD159" i="34"/>
  <c r="AD156" i="34"/>
  <c r="AD154" i="34"/>
  <c r="AD152" i="34"/>
  <c r="AD149" i="34"/>
  <c r="AD145" i="34"/>
  <c r="AD143" i="34"/>
  <c r="AD142" i="34"/>
  <c r="AD139" i="34"/>
  <c r="AD138" i="34"/>
  <c r="AD137" i="34"/>
  <c r="AD136" i="34"/>
  <c r="AD133" i="34"/>
  <c r="AD129" i="34"/>
  <c r="AD128" i="34"/>
  <c r="AD124" i="34"/>
  <c r="AD120" i="34"/>
  <c r="AD119" i="34"/>
  <c r="AD116" i="34"/>
  <c r="AD115" i="34"/>
  <c r="AD113" i="34"/>
  <c r="AD112" i="34"/>
  <c r="AD110" i="34"/>
  <c r="AD109" i="34"/>
  <c r="AD108" i="34"/>
  <c r="AD107" i="34"/>
  <c r="AD106" i="34"/>
  <c r="AD103" i="34"/>
  <c r="AD102" i="34"/>
  <c r="AD98" i="34"/>
  <c r="AD95" i="34"/>
  <c r="AD93" i="34"/>
  <c r="AD91" i="34"/>
  <c r="AD90" i="34"/>
  <c r="AD89" i="34"/>
  <c r="AD88" i="34"/>
  <c r="AD87" i="34"/>
  <c r="AD86" i="34"/>
  <c r="AD85" i="34"/>
  <c r="AD84" i="34"/>
  <c r="AD83" i="34"/>
  <c r="AD82" i="34"/>
  <c r="AD81" i="34"/>
  <c r="AD78" i="34"/>
  <c r="AD77" i="34"/>
  <c r="AD75" i="34"/>
  <c r="AD73" i="34"/>
  <c r="AD72" i="34"/>
  <c r="AD69" i="34"/>
  <c r="AD68" i="34"/>
  <c r="AD67" i="34"/>
  <c r="AD66" i="34"/>
  <c r="AD65" i="34"/>
  <c r="AD63" i="34"/>
  <c r="AD62" i="34"/>
  <c r="AD61" i="34"/>
  <c r="AD60" i="34"/>
  <c r="AD59" i="34"/>
  <c r="AD55" i="34"/>
  <c r="AD54" i="34"/>
  <c r="AD53" i="34"/>
  <c r="AD52" i="34"/>
  <c r="AD51" i="34"/>
  <c r="AD46" i="34"/>
  <c r="AD44" i="34"/>
  <c r="AD43" i="34"/>
  <c r="AD42" i="34"/>
  <c r="AD41" i="34"/>
  <c r="AD40" i="34"/>
  <c r="AD39" i="34"/>
  <c r="AD38" i="34"/>
  <c r="AD36" i="34"/>
  <c r="AD35" i="34"/>
  <c r="AD34" i="34"/>
  <c r="AD31" i="34"/>
  <c r="AD30" i="34"/>
  <c r="AD29" i="34"/>
  <c r="AD28" i="34"/>
  <c r="AD27" i="34"/>
  <c r="AD25" i="34"/>
  <c r="AD24" i="34"/>
  <c r="AD22" i="34"/>
  <c r="AD21" i="34"/>
  <c r="AD20" i="34"/>
  <c r="AD19" i="34"/>
  <c r="AD18" i="34"/>
  <c r="AD17" i="34"/>
  <c r="AD16" i="34"/>
  <c r="AD15" i="34"/>
  <c r="AD14" i="34"/>
  <c r="AD13" i="34"/>
  <c r="AD12" i="34"/>
  <c r="AD11" i="34"/>
  <c r="T4" i="48" l="1"/>
  <c r="O3" i="48"/>
  <c r="T3" i="48"/>
  <c r="X3" i="48"/>
  <c r="O4" i="48"/>
  <c r="X4" i="48"/>
  <c r="S3" i="48"/>
  <c r="S4" i="48"/>
  <c r="Q3" i="48"/>
  <c r="Q4" i="48"/>
  <c r="L23" i="48"/>
  <c r="AB23" i="48" s="1"/>
  <c r="AB25" i="48"/>
  <c r="K14" i="48"/>
  <c r="AA14" i="48" s="1"/>
  <c r="AA15" i="48"/>
  <c r="K23" i="48"/>
  <c r="AA23" i="48" s="1"/>
  <c r="AA25" i="48"/>
  <c r="U3" i="48"/>
  <c r="U4" i="48"/>
  <c r="J14" i="48"/>
  <c r="Z14" i="48" s="1"/>
  <c r="Z15" i="48"/>
  <c r="J5" i="48"/>
  <c r="Z6" i="48"/>
  <c r="J23" i="48"/>
  <c r="Z23" i="48" s="1"/>
  <c r="Z25" i="48"/>
  <c r="AB6" i="48"/>
  <c r="L5" i="48"/>
  <c r="L33" i="48"/>
  <c r="AB33" i="48" s="1"/>
  <c r="AB34" i="48"/>
  <c r="V3" i="48"/>
  <c r="V4" i="48"/>
  <c r="I5" i="48"/>
  <c r="Y6" i="48"/>
  <c r="N3" i="48"/>
  <c r="N4" i="48"/>
  <c r="I14" i="48"/>
  <c r="Y14" i="48" s="1"/>
  <c r="Y15" i="48"/>
  <c r="I33" i="48"/>
  <c r="Y33" i="48" s="1"/>
  <c r="Y34" i="48"/>
  <c r="Y25" i="48"/>
  <c r="J33" i="48"/>
  <c r="Z33" i="48" s="1"/>
  <c r="Z34" i="48"/>
  <c r="M3" i="48"/>
  <c r="M4" i="48"/>
  <c r="K5" i="48"/>
  <c r="AA6" i="48"/>
  <c r="R3" i="48"/>
  <c r="R4" i="48"/>
  <c r="P3" i="48"/>
  <c r="P4" i="48"/>
  <c r="AB15" i="48"/>
  <c r="L14" i="48"/>
  <c r="AB14" i="48" s="1"/>
  <c r="I23" i="48"/>
  <c r="Y23" i="48" s="1"/>
  <c r="K33" i="48"/>
  <c r="AA33" i="48" s="1"/>
  <c r="AA34" i="48"/>
  <c r="AA182" i="34"/>
  <c r="AA181" i="34"/>
  <c r="AE181" i="34" s="1"/>
  <c r="AC182" i="34"/>
  <c r="AD182" i="34" s="1"/>
  <c r="AC181" i="34"/>
  <c r="AD181" i="34" s="1"/>
  <c r="AC131" i="34"/>
  <c r="AC130" i="34"/>
  <c r="AA131" i="34"/>
  <c r="AA130" i="34"/>
  <c r="Y131" i="34"/>
  <c r="Y130" i="34"/>
  <c r="AC127" i="34"/>
  <c r="AC126" i="34"/>
  <c r="AA127" i="34"/>
  <c r="AA126" i="34"/>
  <c r="AE126" i="34" s="1"/>
  <c r="Y127" i="34"/>
  <c r="Y126" i="34"/>
  <c r="AC122" i="34"/>
  <c r="AC123" i="34"/>
  <c r="AA123" i="34"/>
  <c r="AA122" i="34"/>
  <c r="Y123" i="34"/>
  <c r="Y122" i="34"/>
  <c r="AC48" i="34"/>
  <c r="AC47" i="34"/>
  <c r="AA48" i="34"/>
  <c r="AA47" i="34"/>
  <c r="AE47" i="34" s="1"/>
  <c r="Y48" i="34"/>
  <c r="Y47" i="34"/>
  <c r="I46" i="34"/>
  <c r="AE127" i="34" l="1"/>
  <c r="AE182" i="34"/>
  <c r="AE48" i="34"/>
  <c r="AE123" i="34"/>
  <c r="AE122" i="34"/>
  <c r="AE130" i="34"/>
  <c r="AD48" i="34"/>
  <c r="AE131" i="34"/>
  <c r="K3" i="48"/>
  <c r="AA3" i="48" s="1"/>
  <c r="K4" i="48"/>
  <c r="AA5" i="48"/>
  <c r="AA4" i="48" s="1"/>
  <c r="I3" i="48"/>
  <c r="Y3" i="48" s="1"/>
  <c r="I4" i="48"/>
  <c r="Y5" i="48"/>
  <c r="Y4" i="48" s="1"/>
  <c r="L3" i="48"/>
  <c r="AB3" i="48" s="1"/>
  <c r="L4" i="48"/>
  <c r="AB5" i="48"/>
  <c r="AB4" i="48" s="1"/>
  <c r="J3" i="48"/>
  <c r="Z3" i="48" s="1"/>
  <c r="J4" i="48"/>
  <c r="Z5" i="48"/>
  <c r="Z4" i="48" s="1"/>
  <c r="AD123" i="34"/>
  <c r="AD130" i="34"/>
  <c r="AD127" i="34"/>
  <c r="AD122" i="34"/>
  <c r="AD131" i="34"/>
  <c r="AD47" i="34"/>
  <c r="AD126" i="34"/>
  <c r="AC125" i="34"/>
  <c r="AJ292" i="34" l="1"/>
  <c r="AJ291" i="34"/>
  <c r="AI289" i="34"/>
  <c r="AJ288" i="34"/>
  <c r="AJ287" i="34" s="1"/>
  <c r="AI287" i="34"/>
  <c r="AI284" i="34"/>
  <c r="AJ285" i="34"/>
  <c r="AJ284" i="34" s="1"/>
  <c r="AJ283" i="34"/>
  <c r="AJ282" i="34" s="1"/>
  <c r="AI282" i="34"/>
  <c r="AI281" i="34"/>
  <c r="AI280" i="34"/>
  <c r="AI279" i="34" s="1"/>
  <c r="AI275" i="34"/>
  <c r="AI276" i="34"/>
  <c r="AI274" i="34"/>
  <c r="AI273" i="34"/>
  <c r="AI272" i="34"/>
  <c r="AJ281" i="34"/>
  <c r="AJ277" i="34"/>
  <c r="AJ276" i="34"/>
  <c r="AJ275" i="34"/>
  <c r="AJ274" i="34"/>
  <c r="AJ273" i="34"/>
  <c r="AJ272" i="34"/>
  <c r="AI268" i="34"/>
  <c r="AI266" i="34"/>
  <c r="AJ269" i="34"/>
  <c r="AJ268" i="34" s="1"/>
  <c r="AJ267" i="34"/>
  <c r="AJ266" i="34" s="1"/>
  <c r="AI263" i="34"/>
  <c r="AI264" i="34"/>
  <c r="AI265" i="34"/>
  <c r="AI262" i="34"/>
  <c r="AJ271" i="34" l="1"/>
  <c r="AJ270" i="34" s="1"/>
  <c r="AI271" i="34"/>
  <c r="AI270" i="34" s="1"/>
  <c r="AJ265" i="34"/>
  <c r="AK265" i="34" s="1"/>
  <c r="AJ264" i="34"/>
  <c r="AK264" i="34" s="1"/>
  <c r="AJ263" i="34"/>
  <c r="AK263" i="34" s="1"/>
  <c r="AJ262" i="34"/>
  <c r="AI261" i="34"/>
  <c r="AJ259" i="34"/>
  <c r="AK259" i="34" s="1"/>
  <c r="AJ258" i="34"/>
  <c r="AK258" i="34" s="1"/>
  <c r="AI257" i="34"/>
  <c r="AI253" i="34"/>
  <c r="AI254" i="34"/>
  <c r="AI255" i="34"/>
  <c r="AI252" i="34"/>
  <c r="AJ256" i="34"/>
  <c r="AK256" i="34" s="1"/>
  <c r="AJ255" i="34"/>
  <c r="AJ254" i="34"/>
  <c r="AJ253" i="34"/>
  <c r="AJ252" i="34"/>
  <c r="AI248" i="34"/>
  <c r="AI247" i="34"/>
  <c r="AI242" i="34"/>
  <c r="AI243" i="34"/>
  <c r="AI244" i="34"/>
  <c r="AI241" i="34"/>
  <c r="AJ249" i="34"/>
  <c r="AK249" i="34" s="1"/>
  <c r="AJ248" i="34"/>
  <c r="AJ247" i="34"/>
  <c r="AJ244" i="34"/>
  <c r="AJ243" i="34"/>
  <c r="AJ242" i="34"/>
  <c r="AJ241" i="34"/>
  <c r="AJ238" i="34"/>
  <c r="AK238" i="34" s="1"/>
  <c r="AJ237" i="34"/>
  <c r="AK237" i="34" s="1"/>
  <c r="AJ236" i="34"/>
  <c r="AK236" i="34" s="1"/>
  <c r="AJ235" i="34"/>
  <c r="AK235" i="34" s="1"/>
  <c r="AI233" i="34"/>
  <c r="AI232" i="34"/>
  <c r="AI231" i="34"/>
  <c r="AI227" i="34"/>
  <c r="AJ228" i="34"/>
  <c r="AK228" i="34" s="1"/>
  <c r="AI219" i="34"/>
  <c r="AJ217" i="34"/>
  <c r="AK217" i="34" s="1"/>
  <c r="AJ216" i="34"/>
  <c r="AK216" i="34" s="1"/>
  <c r="AJ215" i="34"/>
  <c r="AK215" i="34" s="1"/>
  <c r="AJ214" i="34"/>
  <c r="AI213" i="34"/>
  <c r="AI212" i="34" s="1"/>
  <c r="AJ210" i="34"/>
  <c r="AI209" i="34"/>
  <c r="AI208" i="34" s="1"/>
  <c r="AI203" i="34"/>
  <c r="AI202" i="34" s="1"/>
  <c r="AJ207" i="34"/>
  <c r="AK207" i="34" s="1"/>
  <c r="AJ206" i="34"/>
  <c r="AK206" i="34" s="1"/>
  <c r="AJ205" i="34"/>
  <c r="AK205" i="34" s="1"/>
  <c r="AJ204" i="34"/>
  <c r="AK204" i="34" s="1"/>
  <c r="AJ201" i="34"/>
  <c r="AI200" i="34"/>
  <c r="AI193" i="34"/>
  <c r="AI192" i="34"/>
  <c r="AJ199" i="34"/>
  <c r="AK199" i="34" s="1"/>
  <c r="AJ198" i="34"/>
  <c r="AK198" i="34" s="1"/>
  <c r="AJ197" i="34"/>
  <c r="AK197" i="34" s="1"/>
  <c r="AJ196" i="34"/>
  <c r="AK196" i="34" s="1"/>
  <c r="AJ195" i="34"/>
  <c r="AK195" i="34" s="1"/>
  <c r="AJ194" i="34"/>
  <c r="AK194" i="34" s="1"/>
  <c r="AJ193" i="34"/>
  <c r="AK193" i="34" s="1"/>
  <c r="AI183" i="34"/>
  <c r="AJ189" i="34"/>
  <c r="AK189" i="34" s="1"/>
  <c r="AJ188" i="34"/>
  <c r="AK188" i="34" s="1"/>
  <c r="AJ187" i="34"/>
  <c r="AK187" i="34" s="1"/>
  <c r="AJ186" i="34"/>
  <c r="AK186" i="34" s="1"/>
  <c r="AJ185" i="34"/>
  <c r="AK185" i="34" s="1"/>
  <c r="AJ184" i="34"/>
  <c r="AK184" i="34" s="1"/>
  <c r="AI178" i="34"/>
  <c r="AI176" i="34"/>
  <c r="AJ182" i="34"/>
  <c r="AK182" i="34" s="1"/>
  <c r="AJ181" i="34"/>
  <c r="AK181" i="34" s="1"/>
  <c r="AJ180" i="34"/>
  <c r="AK180" i="34" s="1"/>
  <c r="AJ179" i="34"/>
  <c r="AK179" i="34" s="1"/>
  <c r="AJ177" i="34"/>
  <c r="AK177" i="34" s="1"/>
  <c r="AJ175" i="34"/>
  <c r="AK175" i="34" s="1"/>
  <c r="AJ174" i="34"/>
  <c r="AK174" i="34" s="1"/>
  <c r="AJ173" i="34"/>
  <c r="AK173" i="34" s="1"/>
  <c r="AJ172" i="34"/>
  <c r="AK172" i="34" s="1"/>
  <c r="AJ171" i="34"/>
  <c r="AK171" i="34" s="1"/>
  <c r="AJ170" i="34"/>
  <c r="AK170" i="34" s="1"/>
  <c r="AJ169" i="34"/>
  <c r="AK169" i="34" s="1"/>
  <c r="AI168" i="34"/>
  <c r="AJ166" i="34"/>
  <c r="AI165" i="34"/>
  <c r="AI163" i="34"/>
  <c r="AI161" i="34"/>
  <c r="AJ164" i="34"/>
  <c r="AK164" i="34" s="1"/>
  <c r="AJ162" i="34"/>
  <c r="AJ160" i="34"/>
  <c r="AK160" i="34" s="1"/>
  <c r="AJ159" i="34"/>
  <c r="AK159" i="34" s="1"/>
  <c r="AI158" i="34"/>
  <c r="AJ156" i="34"/>
  <c r="AJ154" i="34"/>
  <c r="AI155" i="34"/>
  <c r="AI153" i="34"/>
  <c r="AI151" i="34"/>
  <c r="AJ152" i="34"/>
  <c r="AK152" i="34" s="1"/>
  <c r="AJ149" i="34"/>
  <c r="AI148" i="34"/>
  <c r="AI147" i="34" s="1"/>
  <c r="AI144" i="34"/>
  <c r="AJ145" i="34"/>
  <c r="AJ143" i="34"/>
  <c r="AK143" i="34" s="1"/>
  <c r="AJ142" i="34"/>
  <c r="AK142" i="34" s="1"/>
  <c r="AI141" i="34"/>
  <c r="AJ137" i="34"/>
  <c r="AK137" i="34" s="1"/>
  <c r="AJ138" i="34"/>
  <c r="AK138" i="34" s="1"/>
  <c r="AJ139" i="34"/>
  <c r="AK139" i="34" s="1"/>
  <c r="AJ136" i="34"/>
  <c r="AK136" i="34" s="1"/>
  <c r="AI135" i="34"/>
  <c r="AI134" i="34" s="1"/>
  <c r="AJ133" i="34"/>
  <c r="AI132" i="34"/>
  <c r="AJ130" i="34"/>
  <c r="AK130" i="34" s="1"/>
  <c r="AJ131" i="34"/>
  <c r="AK131" i="34" s="1"/>
  <c r="AJ127" i="34"/>
  <c r="AK127" i="34" s="1"/>
  <c r="AJ128" i="34"/>
  <c r="AK128" i="34" s="1"/>
  <c r="AJ129" i="34"/>
  <c r="AK129" i="34" s="1"/>
  <c r="AJ126" i="34"/>
  <c r="AI125" i="34"/>
  <c r="AJ123" i="34"/>
  <c r="AK123" i="34" s="1"/>
  <c r="AJ124" i="34"/>
  <c r="AK124" i="34" s="1"/>
  <c r="AI121" i="34"/>
  <c r="AJ120" i="34"/>
  <c r="AK120" i="34" s="1"/>
  <c r="AI118" i="34"/>
  <c r="AJ116" i="34"/>
  <c r="AK116" i="34" s="1"/>
  <c r="AJ115" i="34"/>
  <c r="AK115" i="34" s="1"/>
  <c r="AJ113" i="34"/>
  <c r="AK113" i="34" s="1"/>
  <c r="AI114" i="34"/>
  <c r="AJ107" i="34"/>
  <c r="AK107" i="34" s="1"/>
  <c r="AJ108" i="34"/>
  <c r="AK108" i="34" s="1"/>
  <c r="AJ109" i="34"/>
  <c r="AK109" i="34" s="1"/>
  <c r="AJ110" i="34"/>
  <c r="AK110" i="34" s="1"/>
  <c r="AC105" i="34"/>
  <c r="AE105" i="34"/>
  <c r="AF105" i="34"/>
  <c r="AG105" i="34"/>
  <c r="AI105" i="34"/>
  <c r="AJ103" i="34"/>
  <c r="AK103" i="34" s="1"/>
  <c r="AJ104" i="34"/>
  <c r="AK104" i="34" s="1"/>
  <c r="AI101" i="34"/>
  <c r="AJ90" i="34"/>
  <c r="AK90" i="34" s="1"/>
  <c r="AJ91" i="34"/>
  <c r="AK91" i="34" s="1"/>
  <c r="AJ87" i="34"/>
  <c r="AK87" i="34" s="1"/>
  <c r="AJ88" i="34"/>
  <c r="AK88" i="34" s="1"/>
  <c r="AJ89" i="34"/>
  <c r="AK89" i="34" s="1"/>
  <c r="AJ82" i="34"/>
  <c r="AK82" i="34" s="1"/>
  <c r="AJ83" i="34"/>
  <c r="AK83" i="34" s="1"/>
  <c r="AJ84" i="34"/>
  <c r="AK84" i="34" s="1"/>
  <c r="AJ85" i="34"/>
  <c r="AK85" i="34" s="1"/>
  <c r="AJ86" i="34"/>
  <c r="AK86" i="34" s="1"/>
  <c r="AI80" i="34"/>
  <c r="AI76" i="34"/>
  <c r="AI71" i="34"/>
  <c r="AI64" i="34"/>
  <c r="AJ60" i="34"/>
  <c r="AK60" i="34" s="1"/>
  <c r="AJ61" i="34"/>
  <c r="AK61" i="34" s="1"/>
  <c r="AJ62" i="34"/>
  <c r="AK62" i="34" s="1"/>
  <c r="AJ63" i="34"/>
  <c r="AK63" i="34" s="1"/>
  <c r="AI58" i="34"/>
  <c r="AJ52" i="34"/>
  <c r="AK52" i="34" s="1"/>
  <c r="AJ53" i="34"/>
  <c r="AK53" i="34" s="1"/>
  <c r="AJ54" i="34"/>
  <c r="AK54" i="34" s="1"/>
  <c r="AI50" i="34"/>
  <c r="AI49" i="34" s="1"/>
  <c r="AC45" i="34"/>
  <c r="AE45" i="34"/>
  <c r="AF45" i="34"/>
  <c r="AG45" i="34"/>
  <c r="AI45" i="34"/>
  <c r="AJ39" i="34"/>
  <c r="AK39" i="34" s="1"/>
  <c r="AJ40" i="34"/>
  <c r="AK40" i="34" s="1"/>
  <c r="AJ41" i="34"/>
  <c r="AK41" i="34" s="1"/>
  <c r="AJ42" i="34"/>
  <c r="AK42" i="34" s="1"/>
  <c r="AJ43" i="34"/>
  <c r="AK43" i="34" s="1"/>
  <c r="AJ44" i="34"/>
  <c r="AK44" i="34" s="1"/>
  <c r="AI37" i="34"/>
  <c r="AI33" i="34"/>
  <c r="AI26" i="34"/>
  <c r="AI23" i="34"/>
  <c r="AJ22" i="34"/>
  <c r="AK22" i="34" s="1"/>
  <c r="AJ12" i="34"/>
  <c r="AK12" i="34" s="1"/>
  <c r="AJ13" i="34"/>
  <c r="AK13" i="34" s="1"/>
  <c r="AJ14" i="34"/>
  <c r="AK14" i="34" s="1"/>
  <c r="AJ15" i="34"/>
  <c r="AK15" i="34" s="1"/>
  <c r="AJ16" i="34"/>
  <c r="AK16" i="34" s="1"/>
  <c r="AJ17" i="34"/>
  <c r="AK17" i="34" s="1"/>
  <c r="AJ18" i="34"/>
  <c r="AK18" i="34" s="1"/>
  <c r="AJ19" i="34"/>
  <c r="AK19" i="34" s="1"/>
  <c r="AJ20" i="34"/>
  <c r="AK20" i="34" s="1"/>
  <c r="AJ21" i="34"/>
  <c r="AK21" i="34" s="1"/>
  <c r="AK292" i="34"/>
  <c r="AK291" i="34"/>
  <c r="AK288" i="34"/>
  <c r="AK285" i="34"/>
  <c r="AK283" i="34"/>
  <c r="AK281" i="34"/>
  <c r="AK277" i="34"/>
  <c r="AK276" i="34"/>
  <c r="AK275" i="34"/>
  <c r="AK274" i="34"/>
  <c r="AK273" i="34"/>
  <c r="AK272" i="34"/>
  <c r="AK269" i="34"/>
  <c r="AK267" i="34"/>
  <c r="AH292" i="34"/>
  <c r="AH291" i="34"/>
  <c r="AH290" i="34"/>
  <c r="AH288" i="34"/>
  <c r="AH285" i="34"/>
  <c r="AH283" i="34"/>
  <c r="AH281" i="34"/>
  <c r="AH280" i="34"/>
  <c r="AH277" i="34"/>
  <c r="AH276" i="34"/>
  <c r="AH275" i="34"/>
  <c r="AH274" i="34"/>
  <c r="AH273" i="34"/>
  <c r="AH272" i="34"/>
  <c r="AH269" i="34"/>
  <c r="AH267" i="34"/>
  <c r="AH265" i="34"/>
  <c r="AH264" i="34"/>
  <c r="AH263" i="34"/>
  <c r="AH262" i="34"/>
  <c r="AH259" i="34"/>
  <c r="AH258" i="34"/>
  <c r="AH256" i="34"/>
  <c r="AH255" i="34"/>
  <c r="AH254" i="34"/>
  <c r="AH253" i="34"/>
  <c r="AH252" i="34"/>
  <c r="AH249" i="34"/>
  <c r="AH248" i="34"/>
  <c r="AH247" i="34"/>
  <c r="AH244" i="34"/>
  <c r="AH243" i="34"/>
  <c r="AH242" i="34"/>
  <c r="AH241" i="34"/>
  <c r="AH238" i="34"/>
  <c r="AH237" i="34"/>
  <c r="AH236" i="34"/>
  <c r="AH235" i="34"/>
  <c r="AH233" i="34"/>
  <c r="AH232" i="34"/>
  <c r="AH231" i="34"/>
  <c r="AH228" i="34"/>
  <c r="AH226" i="34"/>
  <c r="AH225" i="34"/>
  <c r="AH224" i="34"/>
  <c r="AH223" i="34"/>
  <c r="AH222" i="34"/>
  <c r="AH221" i="34"/>
  <c r="AH220" i="34"/>
  <c r="AH217" i="34"/>
  <c r="AH216" i="34"/>
  <c r="AH215" i="34"/>
  <c r="AH214" i="34"/>
  <c r="AH210" i="34"/>
  <c r="AH207" i="34"/>
  <c r="AH206" i="34"/>
  <c r="AH205" i="34"/>
  <c r="AH204" i="34"/>
  <c r="AH201" i="34"/>
  <c r="AH199" i="34"/>
  <c r="AH198" i="34"/>
  <c r="AH197" i="34"/>
  <c r="AH196" i="34"/>
  <c r="AH195" i="34"/>
  <c r="AH194" i="34"/>
  <c r="AH193" i="34"/>
  <c r="AH192" i="34"/>
  <c r="AH189" i="34"/>
  <c r="AH188" i="34"/>
  <c r="AH187" i="34"/>
  <c r="AH186" i="34"/>
  <c r="AH185" i="34"/>
  <c r="AH184" i="34"/>
  <c r="AH182" i="34"/>
  <c r="AH181" i="34"/>
  <c r="AH180" i="34"/>
  <c r="AH179" i="34"/>
  <c r="AH177" i="34"/>
  <c r="AH175" i="34"/>
  <c r="AH174" i="34"/>
  <c r="AH173" i="34"/>
  <c r="AH172" i="34"/>
  <c r="AH171" i="34"/>
  <c r="AH170" i="34"/>
  <c r="AH169" i="34"/>
  <c r="AH166" i="34"/>
  <c r="AH164" i="34"/>
  <c r="AH162" i="34"/>
  <c r="AH160" i="34"/>
  <c r="AH159" i="34"/>
  <c r="AH156" i="34"/>
  <c r="AH154" i="34"/>
  <c r="AH152" i="34"/>
  <c r="AH149" i="34"/>
  <c r="AH145" i="34"/>
  <c r="AH143" i="34"/>
  <c r="AH142" i="34"/>
  <c r="AH139" i="34"/>
  <c r="AH138" i="34"/>
  <c r="AH137" i="34"/>
  <c r="AH136" i="34"/>
  <c r="AH133" i="34"/>
  <c r="AH131" i="34"/>
  <c r="AH130" i="34"/>
  <c r="AH129" i="34"/>
  <c r="AH128" i="34"/>
  <c r="AH127" i="34"/>
  <c r="AH126" i="34"/>
  <c r="AH124" i="34"/>
  <c r="AH123" i="34"/>
  <c r="AH122" i="34"/>
  <c r="AH120" i="34"/>
  <c r="AH119" i="34"/>
  <c r="AH116" i="34"/>
  <c r="AH115" i="34"/>
  <c r="AH113" i="34"/>
  <c r="AH112" i="34"/>
  <c r="AH110" i="34"/>
  <c r="AH109" i="34"/>
  <c r="AH108" i="34"/>
  <c r="AH107" i="34"/>
  <c r="AH106" i="34"/>
  <c r="AH105" i="34" s="1"/>
  <c r="AH104" i="34"/>
  <c r="AH103" i="34"/>
  <c r="AH102" i="34"/>
  <c r="AH98" i="34"/>
  <c r="AH96" i="34"/>
  <c r="AH95" i="34"/>
  <c r="AH94" i="34"/>
  <c r="AH93" i="34"/>
  <c r="AH91" i="34"/>
  <c r="AH90" i="34"/>
  <c r="AH89" i="34"/>
  <c r="AH88" i="34"/>
  <c r="AH87" i="34"/>
  <c r="AH86" i="34"/>
  <c r="AH85" i="34"/>
  <c r="AH84" i="34"/>
  <c r="AH83" i="34"/>
  <c r="AH82" i="34"/>
  <c r="AH81" i="34"/>
  <c r="AH78" i="34"/>
  <c r="AH77" i="34"/>
  <c r="AH75" i="34"/>
  <c r="AH73" i="34"/>
  <c r="AH72" i="34"/>
  <c r="AH69" i="34"/>
  <c r="AH68" i="34"/>
  <c r="AH67" i="34"/>
  <c r="AH66" i="34"/>
  <c r="AH65" i="34"/>
  <c r="AH63" i="34"/>
  <c r="AH62" i="34"/>
  <c r="AH61" i="34"/>
  <c r="AH60" i="34"/>
  <c r="AH59" i="34"/>
  <c r="AH55" i="34"/>
  <c r="AH54" i="34"/>
  <c r="AH53" i="34"/>
  <c r="AH52" i="34"/>
  <c r="AH51" i="34"/>
  <c r="AH48" i="34"/>
  <c r="AH47" i="34"/>
  <c r="AH46" i="34"/>
  <c r="AH44" i="34"/>
  <c r="AH43" i="34"/>
  <c r="AH42" i="34"/>
  <c r="AH41" i="34"/>
  <c r="AH40" i="34"/>
  <c r="AH39" i="34"/>
  <c r="AH38" i="34"/>
  <c r="AH36" i="34"/>
  <c r="AH35" i="34"/>
  <c r="AH34" i="34"/>
  <c r="AH31" i="34"/>
  <c r="AH30" i="34"/>
  <c r="AH29" i="34"/>
  <c r="AH28" i="34"/>
  <c r="AH27" i="34"/>
  <c r="AH25" i="34"/>
  <c r="AH24" i="34"/>
  <c r="AH22" i="34"/>
  <c r="AH21" i="34"/>
  <c r="AH20" i="34"/>
  <c r="AH19" i="34"/>
  <c r="AH18" i="34"/>
  <c r="AH17" i="34"/>
  <c r="AH16" i="34"/>
  <c r="AH15" i="34"/>
  <c r="AH14" i="34"/>
  <c r="AH13" i="34"/>
  <c r="AH12" i="34"/>
  <c r="AH11" i="34"/>
  <c r="AG289" i="34"/>
  <c r="AG287" i="34"/>
  <c r="AG284" i="34"/>
  <c r="AG282" i="34"/>
  <c r="AG279" i="34"/>
  <c r="AG271" i="34"/>
  <c r="AG268" i="34"/>
  <c r="AG266" i="34"/>
  <c r="AG261" i="34"/>
  <c r="AG257" i="34"/>
  <c r="AG251" i="34"/>
  <c r="AG246" i="34"/>
  <c r="AG245" i="34" s="1"/>
  <c r="AG240" i="34"/>
  <c r="AG239" i="34" s="1"/>
  <c r="AG234" i="34"/>
  <c r="AG230" i="34"/>
  <c r="AG227" i="34"/>
  <c r="AG219" i="34"/>
  <c r="AG213" i="34"/>
  <c r="AG212" i="34" s="1"/>
  <c r="AG209" i="34"/>
  <c r="AG203" i="34"/>
  <c r="AG200" i="34"/>
  <c r="AG191" i="34"/>
  <c r="AG178" i="34"/>
  <c r="AG176" i="34"/>
  <c r="AG168" i="34"/>
  <c r="AG165" i="34"/>
  <c r="AG163" i="34"/>
  <c r="AG161" i="34"/>
  <c r="AG158" i="34"/>
  <c r="AG155" i="34"/>
  <c r="AG153" i="34"/>
  <c r="AG151" i="34"/>
  <c r="AG148" i="34"/>
  <c r="AG147" i="34" s="1"/>
  <c r="AG144" i="34"/>
  <c r="AG141" i="34"/>
  <c r="AG135" i="34"/>
  <c r="AG134" i="34" s="1"/>
  <c r="AG132" i="34"/>
  <c r="AG125" i="34"/>
  <c r="AG121" i="34"/>
  <c r="AG118" i="34"/>
  <c r="AG114" i="34"/>
  <c r="AG111" i="34"/>
  <c r="AG101" i="34"/>
  <c r="AG97" i="34"/>
  <c r="AG92" i="34"/>
  <c r="AG80" i="34"/>
  <c r="AG76" i="34"/>
  <c r="AG74" i="34"/>
  <c r="AG71" i="34"/>
  <c r="AG64" i="34"/>
  <c r="AG58" i="34"/>
  <c r="AG50" i="34"/>
  <c r="AG37" i="34"/>
  <c r="AG33" i="34"/>
  <c r="AG26" i="34"/>
  <c r="AG23" i="34"/>
  <c r="AG10" i="34"/>
  <c r="AF289" i="34"/>
  <c r="AF287" i="34"/>
  <c r="AF284" i="34"/>
  <c r="AF282" i="34"/>
  <c r="AF279" i="34"/>
  <c r="AF271" i="34"/>
  <c r="AF270" i="34" s="1"/>
  <c r="AF268" i="34"/>
  <c r="AF266" i="34"/>
  <c r="AF261" i="34"/>
  <c r="AF257" i="34"/>
  <c r="AF251" i="34"/>
  <c r="AF246" i="34"/>
  <c r="AF245" i="34" s="1"/>
  <c r="AF240" i="34"/>
  <c r="AF239" i="34" s="1"/>
  <c r="AF234" i="34"/>
  <c r="AF230" i="34"/>
  <c r="AF227" i="34"/>
  <c r="AF219" i="34"/>
  <c r="AF213" i="34"/>
  <c r="AF212" i="34" s="1"/>
  <c r="AF209" i="34"/>
  <c r="AF208" i="34" s="1"/>
  <c r="AF203" i="34"/>
  <c r="AF202" i="34" s="1"/>
  <c r="AF200" i="34"/>
  <c r="AF191" i="34"/>
  <c r="AF183" i="34"/>
  <c r="AF178" i="34"/>
  <c r="AF176" i="34"/>
  <c r="AF168" i="34"/>
  <c r="AF165" i="34"/>
  <c r="AF163" i="34"/>
  <c r="AF161" i="34"/>
  <c r="AF158" i="34"/>
  <c r="AF155" i="34"/>
  <c r="AF153" i="34"/>
  <c r="AF151" i="34"/>
  <c r="AF148" i="34"/>
  <c r="AF147" i="34" s="1"/>
  <c r="AF144" i="34"/>
  <c r="AF141" i="34"/>
  <c r="AF135" i="34"/>
  <c r="AF134" i="34" s="1"/>
  <c r="AF132" i="34"/>
  <c r="AF125" i="34"/>
  <c r="AF121" i="34"/>
  <c r="AF118" i="34"/>
  <c r="AF114" i="34"/>
  <c r="AF111" i="34"/>
  <c r="AF101" i="34"/>
  <c r="AF97" i="34"/>
  <c r="AF92" i="34"/>
  <c r="AF80" i="34"/>
  <c r="AF76" i="34"/>
  <c r="AF74" i="34"/>
  <c r="AF71" i="34"/>
  <c r="AF64" i="34"/>
  <c r="AF58" i="34"/>
  <c r="AF50" i="34"/>
  <c r="AF49" i="34" s="1"/>
  <c r="AF37" i="34"/>
  <c r="AF33" i="34"/>
  <c r="AF26" i="34"/>
  <c r="AF23" i="34"/>
  <c r="AF10" i="34"/>
  <c r="AE289" i="34"/>
  <c r="AE287" i="34"/>
  <c r="AE284" i="34"/>
  <c r="AE282" i="34"/>
  <c r="AE279" i="34"/>
  <c r="AE271" i="34"/>
  <c r="AE270" i="34" s="1"/>
  <c r="AE268" i="34"/>
  <c r="AE266" i="34"/>
  <c r="AE261" i="34"/>
  <c r="AE257" i="34"/>
  <c r="AE251" i="34"/>
  <c r="AE246" i="34"/>
  <c r="AE245" i="34" s="1"/>
  <c r="AE240" i="34"/>
  <c r="AE239" i="34" s="1"/>
  <c r="AE234" i="34"/>
  <c r="AE230" i="34"/>
  <c r="AE227" i="34"/>
  <c r="AE219" i="34"/>
  <c r="AE213" i="34"/>
  <c r="AE212" i="34" s="1"/>
  <c r="AE209" i="34"/>
  <c r="AE208" i="34" s="1"/>
  <c r="AE203" i="34"/>
  <c r="AE202" i="34" s="1"/>
  <c r="AE200" i="34"/>
  <c r="AE191" i="34"/>
  <c r="AE183" i="34"/>
  <c r="AE178" i="34"/>
  <c r="AE176" i="34"/>
  <c r="AE168" i="34"/>
  <c r="AE165" i="34"/>
  <c r="AE163" i="34"/>
  <c r="AE161" i="34"/>
  <c r="AE158" i="34"/>
  <c r="AE155" i="34"/>
  <c r="AE153" i="34"/>
  <c r="AE151" i="34"/>
  <c r="AE148" i="34"/>
  <c r="AE147" i="34" s="1"/>
  <c r="AE144" i="34"/>
  <c r="AE141" i="34"/>
  <c r="AE135" i="34"/>
  <c r="AE134" i="34" s="1"/>
  <c r="AE132" i="34"/>
  <c r="AE125" i="34"/>
  <c r="AE121" i="34"/>
  <c r="AE118" i="34"/>
  <c r="AE114" i="34"/>
  <c r="AE111" i="34"/>
  <c r="AE101" i="34"/>
  <c r="AE97" i="34"/>
  <c r="AE92" i="34"/>
  <c r="AE80" i="34"/>
  <c r="AE76" i="34"/>
  <c r="AE74" i="34"/>
  <c r="AE71" i="34"/>
  <c r="AE64" i="34"/>
  <c r="AE58" i="34"/>
  <c r="AE50" i="34"/>
  <c r="AE49" i="34" s="1"/>
  <c r="AE37" i="34"/>
  <c r="AE33" i="34"/>
  <c r="AE26" i="34"/>
  <c r="AE23" i="34"/>
  <c r="AE10" i="34"/>
  <c r="AC289" i="34"/>
  <c r="AA289" i="34"/>
  <c r="AC287" i="34"/>
  <c r="AA287" i="34"/>
  <c r="AC284" i="34"/>
  <c r="AA284" i="34"/>
  <c r="AC282" i="34"/>
  <c r="AA282" i="34"/>
  <c r="AC279" i="34"/>
  <c r="AA279" i="34"/>
  <c r="AC271" i="34"/>
  <c r="AA271" i="34"/>
  <c r="AA270" i="34" s="1"/>
  <c r="AC268" i="34"/>
  <c r="AA268" i="34"/>
  <c r="AC266" i="34"/>
  <c r="AA266" i="34"/>
  <c r="AC261" i="34"/>
  <c r="AA261" i="34"/>
  <c r="AC257" i="34"/>
  <c r="AA257" i="34"/>
  <c r="AC251" i="34"/>
  <c r="AA251" i="34"/>
  <c r="AC246" i="34"/>
  <c r="AA246" i="34"/>
  <c r="AA245" i="34" s="1"/>
  <c r="AC240" i="34"/>
  <c r="AA240" i="34"/>
  <c r="AA239" i="34" s="1"/>
  <c r="AC234" i="34"/>
  <c r="AA234" i="34"/>
  <c r="AC230" i="34"/>
  <c r="AA230" i="34"/>
  <c r="AC227" i="34"/>
  <c r="AA227" i="34"/>
  <c r="AC219" i="34"/>
  <c r="AA219" i="34"/>
  <c r="AC213" i="34"/>
  <c r="AA213" i="34"/>
  <c r="AA212" i="34" s="1"/>
  <c r="AC209" i="34"/>
  <c r="AA209" i="34"/>
  <c r="AA208" i="34" s="1"/>
  <c r="AC203" i="34"/>
  <c r="AA203" i="34"/>
  <c r="AA202" i="34" s="1"/>
  <c r="AC200" i="34"/>
  <c r="AA200" i="34"/>
  <c r="AC191" i="34"/>
  <c r="AA191" i="34"/>
  <c r="AC183" i="34"/>
  <c r="AA183" i="34"/>
  <c r="AC178" i="34"/>
  <c r="AA178" i="34"/>
  <c r="AC176" i="34"/>
  <c r="AA176" i="34"/>
  <c r="AC168" i="34"/>
  <c r="AA168" i="34"/>
  <c r="AC165" i="34"/>
  <c r="AA165" i="34"/>
  <c r="AC163" i="34"/>
  <c r="AA163" i="34"/>
  <c r="AC161" i="34"/>
  <c r="AA161" i="34"/>
  <c r="AC158" i="34"/>
  <c r="AA158" i="34"/>
  <c r="AC155" i="34"/>
  <c r="AA155" i="34"/>
  <c r="AC153" i="34"/>
  <c r="AA153" i="34"/>
  <c r="AC151" i="34"/>
  <c r="AA151" i="34"/>
  <c r="AC148" i="34"/>
  <c r="AA148" i="34"/>
  <c r="AA147" i="34" s="1"/>
  <c r="AC144" i="34"/>
  <c r="AA144" i="34"/>
  <c r="AC141" i="34"/>
  <c r="AA141" i="34"/>
  <c r="AC135" i="34"/>
  <c r="AA135" i="34"/>
  <c r="AA134" i="34" s="1"/>
  <c r="AC132" i="34"/>
  <c r="AA132" i="34"/>
  <c r="AA125" i="34"/>
  <c r="AC121" i="34"/>
  <c r="AA121" i="34"/>
  <c r="AC118" i="34"/>
  <c r="AA118" i="34"/>
  <c r="AC114" i="34"/>
  <c r="AA114" i="34"/>
  <c r="AC111" i="34"/>
  <c r="AA111" i="34"/>
  <c r="AA105" i="34"/>
  <c r="AC101" i="34"/>
  <c r="AA101" i="34"/>
  <c r="AC97" i="34"/>
  <c r="AA97" i="34"/>
  <c r="AC92" i="34"/>
  <c r="AA92" i="34"/>
  <c r="AC80" i="34"/>
  <c r="AA80" i="34"/>
  <c r="AC76" i="34"/>
  <c r="AA76" i="34"/>
  <c r="AC74" i="34"/>
  <c r="AA74" i="34"/>
  <c r="AC71" i="34"/>
  <c r="AA71" i="34"/>
  <c r="AC64" i="34"/>
  <c r="AA64" i="34"/>
  <c r="AC58" i="34"/>
  <c r="AA58" i="34"/>
  <c r="AC50" i="34"/>
  <c r="AA50" i="34"/>
  <c r="AA49" i="34" s="1"/>
  <c r="AA45" i="34"/>
  <c r="AC37" i="34"/>
  <c r="AA37" i="34"/>
  <c r="AC33" i="34"/>
  <c r="AA33" i="34"/>
  <c r="AC26" i="34"/>
  <c r="AA23" i="34"/>
  <c r="AC10" i="34"/>
  <c r="AB17" i="34"/>
  <c r="AB292" i="34"/>
  <c r="AB291" i="34"/>
  <c r="AB290" i="34"/>
  <c r="AB288" i="34"/>
  <c r="AB285" i="34"/>
  <c r="AB283" i="34"/>
  <c r="AB277" i="34"/>
  <c r="AB269" i="34"/>
  <c r="AB267" i="34"/>
  <c r="AB259" i="34"/>
  <c r="AB258" i="34"/>
  <c r="AB256" i="34"/>
  <c r="AB255" i="34"/>
  <c r="AB254" i="34"/>
  <c r="AB249" i="34"/>
  <c r="AB238" i="34"/>
  <c r="AB237" i="34"/>
  <c r="AB236" i="34"/>
  <c r="AB235" i="34"/>
  <c r="AB233" i="34"/>
  <c r="AB228" i="34"/>
  <c r="AB226" i="34"/>
  <c r="AB225" i="34"/>
  <c r="AB224" i="34"/>
  <c r="AB223" i="34"/>
  <c r="AB222" i="34"/>
  <c r="AB221" i="34"/>
  <c r="AB220" i="34"/>
  <c r="AB217" i="34"/>
  <c r="AB216" i="34"/>
  <c r="AB215" i="34"/>
  <c r="AB214" i="34"/>
  <c r="AB207" i="34"/>
  <c r="AB206" i="34"/>
  <c r="AB205" i="34"/>
  <c r="AB204" i="34"/>
  <c r="AB201" i="34"/>
  <c r="AB199" i="34"/>
  <c r="AB198" i="34"/>
  <c r="AB197" i="34"/>
  <c r="AB196" i="34"/>
  <c r="AB195" i="34"/>
  <c r="AB194" i="34"/>
  <c r="AB189" i="34"/>
  <c r="AB188" i="34"/>
  <c r="AB184" i="34"/>
  <c r="AB182" i="34"/>
  <c r="AB181" i="34"/>
  <c r="AB180" i="34"/>
  <c r="AB179" i="34"/>
  <c r="AB177" i="34"/>
  <c r="AB175" i="34"/>
  <c r="AB174" i="34"/>
  <c r="AB173" i="34"/>
  <c r="AB172" i="34"/>
  <c r="AB171" i="34"/>
  <c r="AB170" i="34"/>
  <c r="AB169" i="34"/>
  <c r="AB166" i="34"/>
  <c r="AB164" i="34"/>
  <c r="AB162" i="34"/>
  <c r="AB160" i="34"/>
  <c r="AB159" i="34"/>
  <c r="AB156" i="34"/>
  <c r="AB154" i="34"/>
  <c r="AB152" i="34"/>
  <c r="AB149" i="34"/>
  <c r="AB145" i="34"/>
  <c r="AB143" i="34"/>
  <c r="AB142" i="34"/>
  <c r="AB139" i="34"/>
  <c r="AB138" i="34"/>
  <c r="AB137" i="34"/>
  <c r="AB136" i="34"/>
  <c r="AB133" i="34"/>
  <c r="AB131" i="34"/>
  <c r="AB130" i="34"/>
  <c r="AB129" i="34"/>
  <c r="AB128" i="34"/>
  <c r="AB127" i="34"/>
  <c r="AB126" i="34"/>
  <c r="AB124" i="34"/>
  <c r="AB123" i="34"/>
  <c r="AB122" i="34"/>
  <c r="AB120" i="34"/>
  <c r="AB119" i="34"/>
  <c r="AB116" i="34"/>
  <c r="AB115" i="34"/>
  <c r="AB113" i="34"/>
  <c r="AB112" i="34"/>
  <c r="AB110" i="34"/>
  <c r="AB109" i="34"/>
  <c r="AB108" i="34"/>
  <c r="AB107" i="34"/>
  <c r="AB106" i="34"/>
  <c r="AB104" i="34"/>
  <c r="AB103" i="34"/>
  <c r="AB102" i="34"/>
  <c r="AB98" i="34"/>
  <c r="AB96" i="34"/>
  <c r="AB95" i="34"/>
  <c r="AB94" i="34"/>
  <c r="AB93" i="34"/>
  <c r="AB91" i="34"/>
  <c r="AB90" i="34"/>
  <c r="AB89" i="34"/>
  <c r="AB88" i="34"/>
  <c r="AB87" i="34"/>
  <c r="AB86" i="34"/>
  <c r="AB85" i="34"/>
  <c r="AB84" i="34"/>
  <c r="AB83" i="34"/>
  <c r="AB82" i="34"/>
  <c r="AB81" i="34"/>
  <c r="AB78" i="34"/>
  <c r="AB77" i="34"/>
  <c r="AB75" i="34"/>
  <c r="AB73" i="34"/>
  <c r="AB72" i="34"/>
  <c r="AB69" i="34"/>
  <c r="AB68" i="34"/>
  <c r="AB67" i="34"/>
  <c r="AB66" i="34"/>
  <c r="AB65" i="34"/>
  <c r="AB63" i="34"/>
  <c r="AB62" i="34"/>
  <c r="AB61" i="34"/>
  <c r="AB60" i="34"/>
  <c r="AB59" i="34"/>
  <c r="AB55" i="34"/>
  <c r="AB54" i="34"/>
  <c r="AB53" i="34"/>
  <c r="AB52" i="34"/>
  <c r="AB51" i="34"/>
  <c r="AB46" i="34"/>
  <c r="AB44" i="34"/>
  <c r="AB43" i="34"/>
  <c r="AB42" i="34"/>
  <c r="AB41" i="34"/>
  <c r="AB40" i="34"/>
  <c r="AB39" i="34"/>
  <c r="AB38" i="34"/>
  <c r="AB36" i="34"/>
  <c r="AB35" i="34"/>
  <c r="AB34" i="34"/>
  <c r="AB31" i="34"/>
  <c r="AB30" i="34"/>
  <c r="AB29" i="34"/>
  <c r="AB28" i="34"/>
  <c r="AB27" i="34"/>
  <c r="AB25" i="34"/>
  <c r="AB24" i="34"/>
  <c r="AB22" i="34"/>
  <c r="AB21" i="34"/>
  <c r="AB20" i="34"/>
  <c r="AB19" i="34"/>
  <c r="AB18" i="34"/>
  <c r="AB16" i="34"/>
  <c r="AB15" i="34"/>
  <c r="AB14" i="34"/>
  <c r="AB13" i="34"/>
  <c r="AB12" i="34"/>
  <c r="AB11" i="34"/>
  <c r="Z290" i="34"/>
  <c r="AJ290" i="34" s="1"/>
  <c r="Z287" i="34"/>
  <c r="AA26" i="34"/>
  <c r="Z282" i="34"/>
  <c r="Z284" i="34"/>
  <c r="Z280" i="34"/>
  <c r="Z271" i="34"/>
  <c r="Z270" i="34" s="1"/>
  <c r="Z268" i="34"/>
  <c r="Z266" i="34"/>
  <c r="Z261" i="34"/>
  <c r="Z257" i="34"/>
  <c r="Z251" i="34"/>
  <c r="Z246" i="34"/>
  <c r="Z245" i="34" s="1"/>
  <c r="Z240" i="34"/>
  <c r="Z239" i="34" s="1"/>
  <c r="Z234" i="34"/>
  <c r="Z230" i="34"/>
  <c r="Z227" i="34"/>
  <c r="Z219" i="34"/>
  <c r="Z213" i="34"/>
  <c r="Z212" i="34" s="1"/>
  <c r="Z209" i="34"/>
  <c r="Z208" i="34" s="1"/>
  <c r="Z203" i="34"/>
  <c r="Z202" i="34" s="1"/>
  <c r="Z200" i="34"/>
  <c r="Z192" i="34"/>
  <c r="AJ192" i="34" s="1"/>
  <c r="Z183" i="34"/>
  <c r="Z178" i="34"/>
  <c r="Z176" i="34"/>
  <c r="Z168" i="34"/>
  <c r="Z165" i="34"/>
  <c r="Z163" i="34"/>
  <c r="Z161" i="34"/>
  <c r="Z158" i="34"/>
  <c r="Z155" i="34"/>
  <c r="Z153" i="34"/>
  <c r="Z151" i="34"/>
  <c r="Z148" i="34"/>
  <c r="Z147" i="34" s="1"/>
  <c r="Z144" i="34"/>
  <c r="Z141" i="34"/>
  <c r="Z135" i="34"/>
  <c r="Z134" i="34" s="1"/>
  <c r="Z132" i="34"/>
  <c r="Z125" i="34"/>
  <c r="Z121" i="34"/>
  <c r="Z118" i="34"/>
  <c r="Z114" i="34"/>
  <c r="Z111" i="34"/>
  <c r="Z105" i="34"/>
  <c r="Z101" i="34"/>
  <c r="AK247" i="34" l="1"/>
  <c r="AK255" i="34"/>
  <c r="AK253" i="34"/>
  <c r="AJ132" i="34"/>
  <c r="AK132" i="34" s="1"/>
  <c r="AK133" i="34"/>
  <c r="AJ148" i="34"/>
  <c r="AK148" i="34" s="1"/>
  <c r="AK149" i="34"/>
  <c r="AJ144" i="34"/>
  <c r="AK144" i="34" s="1"/>
  <c r="AK145" i="34"/>
  <c r="AJ153" i="34"/>
  <c r="AK153" i="34" s="1"/>
  <c r="AK154" i="34"/>
  <c r="AF167" i="34"/>
  <c r="AJ155" i="34"/>
  <c r="AK155" i="34" s="1"/>
  <c r="AK156" i="34"/>
  <c r="AJ161" i="34"/>
  <c r="AK161" i="34" s="1"/>
  <c r="AK162" i="34"/>
  <c r="AJ165" i="34"/>
  <c r="AK165" i="34" s="1"/>
  <c r="AK166" i="34"/>
  <c r="AJ209" i="34"/>
  <c r="AK209" i="34" s="1"/>
  <c r="AK210" i="34"/>
  <c r="AI191" i="34"/>
  <c r="AI190" i="34" s="1"/>
  <c r="AK254" i="34"/>
  <c r="AI140" i="34"/>
  <c r="AK244" i="34"/>
  <c r="AC202" i="34"/>
  <c r="AC212" i="34"/>
  <c r="AC245" i="34"/>
  <c r="AK248" i="34"/>
  <c r="AC147" i="34"/>
  <c r="AC49" i="34"/>
  <c r="AC134" i="34"/>
  <c r="AC270" i="34"/>
  <c r="Z289" i="34"/>
  <c r="AH45" i="34"/>
  <c r="AF32" i="34"/>
  <c r="AH118" i="34"/>
  <c r="AH134" i="34"/>
  <c r="AK270" i="34"/>
  <c r="AJ191" i="34"/>
  <c r="AH71" i="34"/>
  <c r="AH114" i="34"/>
  <c r="AH158" i="34"/>
  <c r="AJ158" i="34"/>
  <c r="AK158" i="34" s="1"/>
  <c r="AA57" i="34"/>
  <c r="AC157" i="34"/>
  <c r="AF117" i="34"/>
  <c r="AF278" i="34"/>
  <c r="AH125" i="34"/>
  <c r="AH144" i="34"/>
  <c r="AH155" i="34"/>
  <c r="AH165" i="34"/>
  <c r="AH183" i="34"/>
  <c r="AH230" i="34"/>
  <c r="AH251" i="34"/>
  <c r="AH268" i="34"/>
  <c r="AH284" i="34"/>
  <c r="AJ178" i="34"/>
  <c r="AK178" i="34" s="1"/>
  <c r="AK242" i="34"/>
  <c r="AJ261" i="34"/>
  <c r="AE286" i="34"/>
  <c r="AE117" i="34"/>
  <c r="AF9" i="34"/>
  <c r="AF229" i="34"/>
  <c r="AH26" i="34"/>
  <c r="AH101" i="34"/>
  <c r="AH245" i="34"/>
  <c r="AH282" i="34"/>
  <c r="AJ114" i="34"/>
  <c r="AK114" i="34" s="1"/>
  <c r="AJ227" i="34"/>
  <c r="AK227" i="34" s="1"/>
  <c r="AJ257" i="34"/>
  <c r="Z260" i="34"/>
  <c r="AE79" i="34"/>
  <c r="AE190" i="34"/>
  <c r="AH266" i="34"/>
  <c r="AH37" i="34"/>
  <c r="AH92" i="34"/>
  <c r="AH212" i="34"/>
  <c r="AH234" i="34"/>
  <c r="AH257" i="34"/>
  <c r="AI230" i="34"/>
  <c r="AI229" i="34" s="1"/>
  <c r="Z191" i="34"/>
  <c r="Z190" i="34" s="1"/>
  <c r="AE218" i="34"/>
  <c r="AF157" i="34"/>
  <c r="AF190" i="34"/>
  <c r="AH23" i="34"/>
  <c r="AH151" i="34"/>
  <c r="AH161" i="34"/>
  <c r="AH176" i="34"/>
  <c r="AH200" i="34"/>
  <c r="AH239" i="34"/>
  <c r="AH289" i="34"/>
  <c r="AI117" i="34"/>
  <c r="AJ141" i="34"/>
  <c r="AK141" i="34" s="1"/>
  <c r="AE278" i="34"/>
  <c r="AF286" i="34"/>
  <c r="AH76" i="34"/>
  <c r="AH121" i="34"/>
  <c r="AH153" i="34"/>
  <c r="AH163" i="34"/>
  <c r="AH178" i="34"/>
  <c r="AH227" i="34"/>
  <c r="AE32" i="34"/>
  <c r="AH33" i="34"/>
  <c r="AH64" i="34"/>
  <c r="AH111" i="34"/>
  <c r="AA32" i="34"/>
  <c r="AE9" i="34"/>
  <c r="AE229" i="34"/>
  <c r="AG79" i="34"/>
  <c r="AH80" i="34"/>
  <c r="AH209" i="34"/>
  <c r="AG229" i="34"/>
  <c r="AJ163" i="34"/>
  <c r="AK163" i="34" s="1"/>
  <c r="AJ200" i="34"/>
  <c r="AK200" i="34" s="1"/>
  <c r="AK201" i="34"/>
  <c r="AG140" i="34"/>
  <c r="AH141" i="34"/>
  <c r="AG202" i="34"/>
  <c r="AH202" i="34" s="1"/>
  <c r="AH203" i="34"/>
  <c r="AC70" i="34"/>
  <c r="AA140" i="34"/>
  <c r="AC208" i="34"/>
  <c r="AG9" i="34"/>
  <c r="AH132" i="34"/>
  <c r="AH147" i="34"/>
  <c r="AH191" i="34"/>
  <c r="AG270" i="34"/>
  <c r="AH270" i="34" s="1"/>
  <c r="AH271" i="34"/>
  <c r="AH287" i="34"/>
  <c r="AJ151" i="34"/>
  <c r="AJ183" i="34"/>
  <c r="AK183" i="34" s="1"/>
  <c r="AI251" i="34"/>
  <c r="AK252" i="34"/>
  <c r="Z279" i="34"/>
  <c r="AJ280" i="34"/>
  <c r="AJ289" i="34"/>
  <c r="AK290" i="34"/>
  <c r="AC239" i="34"/>
  <c r="AH50" i="34"/>
  <c r="AH74" i="34"/>
  <c r="AH97" i="34"/>
  <c r="AG117" i="34"/>
  <c r="AG218" i="34"/>
  <c r="AH219" i="34"/>
  <c r="AH279" i="34"/>
  <c r="AH246" i="34"/>
  <c r="AJ168" i="34"/>
  <c r="AK168" i="34" s="1"/>
  <c r="AJ176" i="34"/>
  <c r="AE70" i="34"/>
  <c r="AE157" i="34"/>
  <c r="AF57" i="34"/>
  <c r="AF100" i="34"/>
  <c r="AF150" i="34"/>
  <c r="AF250" i="34"/>
  <c r="AG49" i="34"/>
  <c r="AH49" i="34" s="1"/>
  <c r="AG70" i="34"/>
  <c r="AG208" i="34"/>
  <c r="AH208" i="34" s="1"/>
  <c r="AG260" i="34"/>
  <c r="AG278" i="34"/>
  <c r="AG286" i="34"/>
  <c r="AH10" i="34"/>
  <c r="AH135" i="34"/>
  <c r="AJ125" i="34"/>
  <c r="AK125" i="34" s="1"/>
  <c r="AJ213" i="34"/>
  <c r="AK241" i="34"/>
  <c r="AE57" i="34"/>
  <c r="AE150" i="34"/>
  <c r="AE167" i="34"/>
  <c r="AE260" i="34"/>
  <c r="AF79" i="34"/>
  <c r="AF140" i="34"/>
  <c r="AF218" i="34"/>
  <c r="AG32" i="34"/>
  <c r="AG157" i="34"/>
  <c r="AG167" i="34"/>
  <c r="AG190" i="34"/>
  <c r="AH148" i="34"/>
  <c r="AH168" i="34"/>
  <c r="AH240" i="34"/>
  <c r="AJ234" i="34"/>
  <c r="AK234" i="34" s="1"/>
  <c r="AJ240" i="34"/>
  <c r="AJ239" i="34" s="1"/>
  <c r="AJ246" i="34"/>
  <c r="AJ245" i="34" s="1"/>
  <c r="AE140" i="34"/>
  <c r="AE250" i="34"/>
  <c r="AF70" i="34"/>
  <c r="AF260" i="34"/>
  <c r="AG57" i="34"/>
  <c r="AG100" i="34"/>
  <c r="AG150" i="34"/>
  <c r="AG250" i="34"/>
  <c r="AH58" i="34"/>
  <c r="AH213" i="34"/>
  <c r="AH261" i="34"/>
  <c r="AI9" i="34"/>
  <c r="AI100" i="34"/>
  <c r="AJ135" i="34"/>
  <c r="AJ203" i="34"/>
  <c r="AJ202" i="34" s="1"/>
  <c r="AK202" i="34" s="1"/>
  <c r="AK243" i="34"/>
  <c r="AJ251" i="34"/>
  <c r="AK262" i="34"/>
  <c r="AI246" i="34"/>
  <c r="AI245" i="34" s="1"/>
  <c r="AI240" i="34"/>
  <c r="AI239" i="34" s="1"/>
  <c r="AK214" i="34"/>
  <c r="AK192" i="34"/>
  <c r="AI150" i="34"/>
  <c r="AJ147" i="34"/>
  <c r="AK147" i="34" s="1"/>
  <c r="AK126" i="34"/>
  <c r="AE100" i="34"/>
  <c r="AI57" i="34"/>
  <c r="AI32" i="34"/>
  <c r="AC229" i="34"/>
  <c r="AA229" i="34"/>
  <c r="AC218" i="34"/>
  <c r="AA218" i="34"/>
  <c r="AC190" i="34"/>
  <c r="AA190" i="34"/>
  <c r="AC167" i="34"/>
  <c r="AA167" i="34"/>
  <c r="AA157" i="34"/>
  <c r="AC150" i="34"/>
  <c r="AA150" i="34"/>
  <c r="AC140" i="34"/>
  <c r="AC117" i="34"/>
  <c r="AA117" i="34"/>
  <c r="AA100" i="34"/>
  <c r="AC100" i="34"/>
  <c r="AC79" i="34"/>
  <c r="AA79" i="34"/>
  <c r="AA70" i="34"/>
  <c r="AC57" i="34"/>
  <c r="AC32" i="34"/>
  <c r="Z229" i="34"/>
  <c r="Z218" i="34"/>
  <c r="Z157" i="34"/>
  <c r="Z150" i="34"/>
  <c r="Z140" i="34"/>
  <c r="Z77" i="34"/>
  <c r="Z76" i="34" s="1"/>
  <c r="Z80" i="34"/>
  <c r="Z74" i="34"/>
  <c r="Z71" i="34"/>
  <c r="Z64" i="34"/>
  <c r="Z58" i="34"/>
  <c r="Z55" i="34"/>
  <c r="AJ55" i="34" s="1"/>
  <c r="AK55" i="34" s="1"/>
  <c r="AB48" i="34"/>
  <c r="Z45" i="34"/>
  <c r="Z37" i="34"/>
  <c r="Z26" i="34"/>
  <c r="AA10" i="34"/>
  <c r="Y289" i="34"/>
  <c r="AD289" i="34" s="1"/>
  <c r="Y287" i="34"/>
  <c r="AD287" i="34" s="1"/>
  <c r="Y284" i="34"/>
  <c r="AD284" i="34" s="1"/>
  <c r="Y282" i="34"/>
  <c r="AD282" i="34" s="1"/>
  <c r="AB281" i="34"/>
  <c r="AB275" i="34"/>
  <c r="AB276" i="34"/>
  <c r="AB274" i="34"/>
  <c r="AB273" i="34"/>
  <c r="Y268" i="34"/>
  <c r="AD268" i="34" s="1"/>
  <c r="Y266" i="34"/>
  <c r="AD266" i="34" s="1"/>
  <c r="AB263" i="34"/>
  <c r="AB264" i="34"/>
  <c r="AB265" i="34"/>
  <c r="Y257" i="34"/>
  <c r="AD257" i="34" s="1"/>
  <c r="AB253" i="34"/>
  <c r="AB248" i="34"/>
  <c r="AB242" i="34"/>
  <c r="AB243" i="34"/>
  <c r="AB244" i="34"/>
  <c r="Y234" i="34"/>
  <c r="AB234" i="34" s="1"/>
  <c r="AB232" i="34"/>
  <c r="Y227" i="34"/>
  <c r="AB227" i="34" s="1"/>
  <c r="Y219" i="34"/>
  <c r="AD219" i="34" s="1"/>
  <c r="Y213" i="34"/>
  <c r="AB213" i="34" s="1"/>
  <c r="Y209" i="34"/>
  <c r="AB209" i="34" s="1"/>
  <c r="Y203" i="34"/>
  <c r="AB203" i="34" s="1"/>
  <c r="Y200" i="34"/>
  <c r="AB200" i="34" s="1"/>
  <c r="AB193" i="34"/>
  <c r="AB192" i="34"/>
  <c r="AB187" i="34"/>
  <c r="AB186" i="34"/>
  <c r="Y178" i="34"/>
  <c r="AB178" i="34" s="1"/>
  <c r="Y176" i="34"/>
  <c r="AB176" i="34" s="1"/>
  <c r="Y168" i="34"/>
  <c r="AB168" i="34" s="1"/>
  <c r="Y165" i="34"/>
  <c r="AB165" i="34" s="1"/>
  <c r="Y163" i="34"/>
  <c r="AB163" i="34" s="1"/>
  <c r="Y161" i="34"/>
  <c r="AB161" i="34" s="1"/>
  <c r="Y158" i="34"/>
  <c r="AB158" i="34" s="1"/>
  <c r="Y155" i="34"/>
  <c r="AB155" i="34" s="1"/>
  <c r="Y153" i="34"/>
  <c r="AB153" i="34" s="1"/>
  <c r="Y151" i="34"/>
  <c r="Y148" i="34"/>
  <c r="Y147" i="34" s="1"/>
  <c r="AB147" i="34" s="1"/>
  <c r="Y144" i="34"/>
  <c r="AB144" i="34" s="1"/>
  <c r="Y141" i="34"/>
  <c r="AB141" i="34" s="1"/>
  <c r="Y135" i="34"/>
  <c r="Y134" i="34" s="1"/>
  <c r="AB134" i="34" s="1"/>
  <c r="Y132" i="34"/>
  <c r="AB132" i="34" s="1"/>
  <c r="Y125" i="34"/>
  <c r="Y121" i="34"/>
  <c r="AB121" i="34" s="1"/>
  <c r="Y118" i="34"/>
  <c r="AB118" i="34" s="1"/>
  <c r="Y114" i="34"/>
  <c r="AB114" i="34" s="1"/>
  <c r="Y111" i="34"/>
  <c r="AB111" i="34" s="1"/>
  <c r="Y105" i="34"/>
  <c r="AD105" i="34" s="1"/>
  <c r="Y101" i="34"/>
  <c r="AB101" i="34" s="1"/>
  <c r="Y97" i="34"/>
  <c r="AB97" i="34" s="1"/>
  <c r="Y92" i="34"/>
  <c r="AB92" i="34" s="1"/>
  <c r="Y80" i="34"/>
  <c r="AB80" i="34" s="1"/>
  <c r="Y76" i="34"/>
  <c r="AB76" i="34" s="1"/>
  <c r="Y74" i="34"/>
  <c r="AB74" i="34" s="1"/>
  <c r="Y71" i="34"/>
  <c r="AB71" i="34" s="1"/>
  <c r="Y64" i="34"/>
  <c r="AB64" i="34" s="1"/>
  <c r="Y58" i="34"/>
  <c r="AB58" i="34" s="1"/>
  <c r="Y50" i="34"/>
  <c r="AB50" i="34" s="1"/>
  <c r="AB47" i="34"/>
  <c r="Y37" i="34"/>
  <c r="AB37" i="34" s="1"/>
  <c r="Y33" i="34"/>
  <c r="AB33" i="34" s="1"/>
  <c r="Y26" i="34"/>
  <c r="AB26" i="34" s="1"/>
  <c r="Y23" i="34"/>
  <c r="AB23" i="34" s="1"/>
  <c r="Y10" i="34"/>
  <c r="AD10" i="34" s="1"/>
  <c r="V292" i="34"/>
  <c r="V291" i="34"/>
  <c r="V290" i="34"/>
  <c r="V288" i="34"/>
  <c r="V287" i="34" s="1"/>
  <c r="V285" i="34"/>
  <c r="V284" i="34" s="1"/>
  <c r="V283" i="34"/>
  <c r="V282" i="34" s="1"/>
  <c r="V281" i="34"/>
  <c r="V280" i="34"/>
  <c r="V277" i="34"/>
  <c r="V276" i="34"/>
  <c r="V275" i="34"/>
  <c r="V274" i="34"/>
  <c r="V273" i="34"/>
  <c r="V272" i="34"/>
  <c r="V269" i="34"/>
  <c r="V268" i="34" s="1"/>
  <c r="V267" i="34"/>
  <c r="V266" i="34" s="1"/>
  <c r="V265" i="34"/>
  <c r="V264" i="34"/>
  <c r="V263" i="34"/>
  <c r="V262" i="34"/>
  <c r="V259" i="34"/>
  <c r="V258" i="34"/>
  <c r="V256" i="34"/>
  <c r="V255" i="34"/>
  <c r="V254" i="34"/>
  <c r="V253" i="34"/>
  <c r="V252" i="34"/>
  <c r="V249" i="34"/>
  <c r="V248" i="34"/>
  <c r="V247" i="34"/>
  <c r="V238" i="34"/>
  <c r="V237" i="34"/>
  <c r="V236" i="34"/>
  <c r="V235" i="34"/>
  <c r="V233" i="34"/>
  <c r="V232" i="34"/>
  <c r="V231" i="34"/>
  <c r="V228" i="34"/>
  <c r="V227" i="34" s="1"/>
  <c r="V221" i="34"/>
  <c r="V222" i="34"/>
  <c r="V223" i="34"/>
  <c r="V224" i="34"/>
  <c r="V225" i="34"/>
  <c r="V226" i="34"/>
  <c r="V220" i="34"/>
  <c r="V215" i="34"/>
  <c r="V216" i="34"/>
  <c r="V217" i="34"/>
  <c r="V214" i="34"/>
  <c r="V210" i="34"/>
  <c r="V209" i="34" s="1"/>
  <c r="V208" i="34" s="1"/>
  <c r="V205" i="34"/>
  <c r="V206" i="34"/>
  <c r="V207" i="34"/>
  <c r="V204" i="34"/>
  <c r="V201" i="34"/>
  <c r="V200" i="34" s="1"/>
  <c r="V196" i="34"/>
  <c r="V197" i="34"/>
  <c r="V198" i="34"/>
  <c r="V199" i="34"/>
  <c r="V193" i="34"/>
  <c r="V194" i="34"/>
  <c r="V195" i="34"/>
  <c r="V192" i="34"/>
  <c r="V185" i="34"/>
  <c r="V186" i="34"/>
  <c r="V187" i="34"/>
  <c r="V188" i="34"/>
  <c r="V189" i="34"/>
  <c r="V184" i="34"/>
  <c r="V180" i="34"/>
  <c r="V181" i="34"/>
  <c r="V182" i="34"/>
  <c r="V179" i="34"/>
  <c r="V177" i="34"/>
  <c r="V176" i="34" s="1"/>
  <c r="V170" i="34"/>
  <c r="V171" i="34"/>
  <c r="V172" i="34"/>
  <c r="V173" i="34"/>
  <c r="V174" i="34"/>
  <c r="V175" i="34"/>
  <c r="V169" i="34"/>
  <c r="V166" i="34"/>
  <c r="V165" i="34" s="1"/>
  <c r="V164" i="34"/>
  <c r="V163" i="34" s="1"/>
  <c r="V162" i="34"/>
  <c r="V161" i="34" s="1"/>
  <c r="V160" i="34"/>
  <c r="V159" i="34"/>
  <c r="V156" i="34"/>
  <c r="V155" i="34" s="1"/>
  <c r="V154" i="34"/>
  <c r="V153" i="34" s="1"/>
  <c r="V152" i="34"/>
  <c r="V151" i="34" s="1"/>
  <c r="V149" i="34"/>
  <c r="V148" i="34" s="1"/>
  <c r="V147" i="34" s="1"/>
  <c r="V145" i="34"/>
  <c r="V144" i="34" s="1"/>
  <c r="V143" i="34"/>
  <c r="V142" i="34"/>
  <c r="V137" i="34"/>
  <c r="V138" i="34"/>
  <c r="V139" i="34"/>
  <c r="V136" i="34"/>
  <c r="V133" i="34"/>
  <c r="V132" i="34" s="1"/>
  <c r="V127" i="34"/>
  <c r="V128" i="34"/>
  <c r="V129" i="34"/>
  <c r="V130" i="34"/>
  <c r="V131" i="34"/>
  <c r="V126" i="34"/>
  <c r="V123" i="34"/>
  <c r="V124" i="34"/>
  <c r="V122" i="34"/>
  <c r="V120" i="34"/>
  <c r="V116" i="34"/>
  <c r="V115" i="34"/>
  <c r="V113" i="34"/>
  <c r="V112" i="34"/>
  <c r="V107" i="34"/>
  <c r="V108" i="34"/>
  <c r="V109" i="34"/>
  <c r="V110" i="34"/>
  <c r="V106" i="34"/>
  <c r="V103" i="34"/>
  <c r="V104" i="34"/>
  <c r="V98" i="34"/>
  <c r="V97" i="34" s="1"/>
  <c r="V94" i="34"/>
  <c r="V95" i="34"/>
  <c r="V96" i="34"/>
  <c r="V88" i="34"/>
  <c r="V89" i="34"/>
  <c r="V90" i="34"/>
  <c r="V91" i="34"/>
  <c r="V85" i="34"/>
  <c r="V86" i="34"/>
  <c r="V87" i="34"/>
  <c r="V82" i="34"/>
  <c r="V83" i="34"/>
  <c r="V84" i="34"/>
  <c r="V78" i="34"/>
  <c r="V77" i="34"/>
  <c r="V75" i="34"/>
  <c r="V74" i="34" s="1"/>
  <c r="V73" i="34"/>
  <c r="V66" i="34"/>
  <c r="V67" i="34"/>
  <c r="V68" i="34"/>
  <c r="V69" i="34"/>
  <c r="V61" i="34"/>
  <c r="V62" i="34"/>
  <c r="V63" i="34"/>
  <c r="V60" i="34"/>
  <c r="V59" i="34"/>
  <c r="V54" i="34"/>
  <c r="V55" i="34"/>
  <c r="V52" i="34"/>
  <c r="V53" i="34"/>
  <c r="V47" i="34"/>
  <c r="V48" i="34"/>
  <c r="V42" i="34"/>
  <c r="V43" i="34"/>
  <c r="V44" i="34"/>
  <c r="V39" i="34"/>
  <c r="V40" i="34"/>
  <c r="V41" i="34"/>
  <c r="V38" i="34"/>
  <c r="V35" i="34"/>
  <c r="V36" i="34"/>
  <c r="V28" i="34"/>
  <c r="V30" i="34"/>
  <c r="V31" i="34"/>
  <c r="V25" i="34"/>
  <c r="V22" i="34"/>
  <c r="V20" i="34"/>
  <c r="V21" i="34"/>
  <c r="V17" i="34"/>
  <c r="V18" i="34"/>
  <c r="V19" i="34"/>
  <c r="V15" i="34"/>
  <c r="V16" i="34"/>
  <c r="V12" i="34"/>
  <c r="V13" i="34"/>
  <c r="V14" i="34"/>
  <c r="I292" i="34"/>
  <c r="H292" i="34"/>
  <c r="I291" i="34"/>
  <c r="H291" i="34"/>
  <c r="I290" i="34"/>
  <c r="H290" i="34"/>
  <c r="I288" i="34"/>
  <c r="I287" i="34" s="1"/>
  <c r="H288" i="34"/>
  <c r="I285" i="34"/>
  <c r="I284" i="34" s="1"/>
  <c r="H285" i="34"/>
  <c r="H284" i="34" s="1"/>
  <c r="I283" i="34"/>
  <c r="I282" i="34" s="1"/>
  <c r="H283" i="34"/>
  <c r="H282" i="34" s="1"/>
  <c r="I281" i="34"/>
  <c r="H281" i="34"/>
  <c r="I280" i="34"/>
  <c r="H280" i="34"/>
  <c r="H277" i="34"/>
  <c r="I277" i="34"/>
  <c r="I276" i="34"/>
  <c r="H276" i="34"/>
  <c r="I275" i="34"/>
  <c r="H275" i="34"/>
  <c r="I274" i="34"/>
  <c r="H274" i="34"/>
  <c r="I273" i="34"/>
  <c r="H273" i="34"/>
  <c r="I272" i="34"/>
  <c r="H272" i="34"/>
  <c r="I264" i="34"/>
  <c r="I265" i="34"/>
  <c r="H265" i="34"/>
  <c r="H264" i="34"/>
  <c r="I263" i="34"/>
  <c r="H263" i="34"/>
  <c r="I262" i="34"/>
  <c r="H262" i="34"/>
  <c r="I267" i="34"/>
  <c r="I266" i="34" s="1"/>
  <c r="H267" i="34"/>
  <c r="H266" i="34" s="1"/>
  <c r="I269" i="34"/>
  <c r="I268" i="34" s="1"/>
  <c r="H269" i="34"/>
  <c r="I259" i="34"/>
  <c r="H259" i="34"/>
  <c r="I258" i="34"/>
  <c r="H258" i="34"/>
  <c r="H253" i="34"/>
  <c r="I253" i="34"/>
  <c r="H254" i="34"/>
  <c r="H255" i="34"/>
  <c r="H256" i="34"/>
  <c r="I256" i="34"/>
  <c r="I252" i="34"/>
  <c r="H252" i="34"/>
  <c r="I249" i="34"/>
  <c r="H249" i="34"/>
  <c r="I248" i="34"/>
  <c r="H248" i="34"/>
  <c r="H246" i="34" s="1"/>
  <c r="H245" i="34" s="1"/>
  <c r="I247" i="34"/>
  <c r="H247" i="34"/>
  <c r="I244" i="34"/>
  <c r="H244" i="34"/>
  <c r="I243" i="34"/>
  <c r="H243" i="34"/>
  <c r="I242" i="34"/>
  <c r="H242" i="34"/>
  <c r="I241" i="34"/>
  <c r="H241" i="34"/>
  <c r="H238" i="34"/>
  <c r="I237" i="34"/>
  <c r="H237" i="34"/>
  <c r="I236" i="34"/>
  <c r="H236" i="34"/>
  <c r="I235" i="34"/>
  <c r="H235" i="34"/>
  <c r="H233" i="34"/>
  <c r="I232" i="34"/>
  <c r="H232" i="34"/>
  <c r="I231" i="34"/>
  <c r="H231" i="34"/>
  <c r="I228" i="34"/>
  <c r="I227" i="34" s="1"/>
  <c r="H228" i="34"/>
  <c r="H227" i="34" s="1"/>
  <c r="H221" i="34"/>
  <c r="H222" i="34"/>
  <c r="H223" i="34"/>
  <c r="H224" i="34"/>
  <c r="I224" i="34"/>
  <c r="H225" i="34"/>
  <c r="I225" i="34"/>
  <c r="H226" i="34"/>
  <c r="I226" i="34"/>
  <c r="I220" i="34"/>
  <c r="H220" i="34"/>
  <c r="H215" i="34"/>
  <c r="I215" i="34"/>
  <c r="H216" i="34"/>
  <c r="I216" i="34"/>
  <c r="H217" i="34"/>
  <c r="I217" i="34"/>
  <c r="I214" i="34"/>
  <c r="H214" i="34"/>
  <c r="H205" i="34"/>
  <c r="H206" i="34"/>
  <c r="I206" i="34"/>
  <c r="H207" i="34"/>
  <c r="I207" i="34"/>
  <c r="H204" i="34"/>
  <c r="I201" i="34"/>
  <c r="I200" i="34" s="1"/>
  <c r="H201" i="34"/>
  <c r="H198" i="34"/>
  <c r="I198" i="34"/>
  <c r="H199" i="34"/>
  <c r="I199" i="34"/>
  <c r="H193" i="34"/>
  <c r="I193" i="34"/>
  <c r="H194" i="34"/>
  <c r="I194" i="34"/>
  <c r="H195" i="34"/>
  <c r="I195" i="34"/>
  <c r="H196" i="34"/>
  <c r="H197" i="34"/>
  <c r="I197" i="34"/>
  <c r="H192" i="34"/>
  <c r="I192" i="34"/>
  <c r="I189" i="34"/>
  <c r="H189" i="34"/>
  <c r="I188" i="34"/>
  <c r="H188" i="34"/>
  <c r="I187" i="34"/>
  <c r="H187" i="34"/>
  <c r="I186" i="34"/>
  <c r="H186" i="34"/>
  <c r="I185" i="34"/>
  <c r="H185" i="34"/>
  <c r="I184" i="34"/>
  <c r="H184" i="34"/>
  <c r="H180" i="34"/>
  <c r="I180" i="34"/>
  <c r="H181" i="34"/>
  <c r="I181" i="34"/>
  <c r="H182" i="34"/>
  <c r="I182" i="34"/>
  <c r="I179" i="34"/>
  <c r="H179" i="34"/>
  <c r="I177" i="34"/>
  <c r="I176" i="34" s="1"/>
  <c r="H177" i="34"/>
  <c r="H176" i="34" s="1"/>
  <c r="I175" i="34"/>
  <c r="H175" i="34"/>
  <c r="H174" i="34"/>
  <c r="I173" i="34"/>
  <c r="H173" i="34"/>
  <c r="I172" i="34"/>
  <c r="H172" i="34"/>
  <c r="I171" i="34"/>
  <c r="H171" i="34"/>
  <c r="H170" i="34"/>
  <c r="I169" i="34"/>
  <c r="H169" i="34"/>
  <c r="I163" i="34"/>
  <c r="H164" i="34"/>
  <c r="H163" i="34" s="1"/>
  <c r="I162" i="34"/>
  <c r="I161" i="34" s="1"/>
  <c r="H162" i="34"/>
  <c r="H161" i="34" s="1"/>
  <c r="H160" i="34"/>
  <c r="I159" i="34"/>
  <c r="I158" i="34" s="1"/>
  <c r="H159" i="34"/>
  <c r="H158" i="34" s="1"/>
  <c r="I156" i="34"/>
  <c r="I155" i="34" s="1"/>
  <c r="H156" i="34"/>
  <c r="I154" i="34"/>
  <c r="I153" i="34" s="1"/>
  <c r="H154" i="34"/>
  <c r="H153" i="34" s="1"/>
  <c r="I152" i="34"/>
  <c r="I151" i="34" s="1"/>
  <c r="H152" i="34"/>
  <c r="H151" i="34" s="1"/>
  <c r="H147" i="34"/>
  <c r="I149" i="34"/>
  <c r="I148" i="34" s="1"/>
  <c r="I147" i="34" s="1"/>
  <c r="H149" i="34"/>
  <c r="I209" i="34"/>
  <c r="I208" i="34" s="1"/>
  <c r="H208" i="34"/>
  <c r="H210" i="34"/>
  <c r="I166" i="34"/>
  <c r="I165" i="34" s="1"/>
  <c r="H166" i="34"/>
  <c r="I230" i="34" l="1"/>
  <c r="V230" i="34"/>
  <c r="H261" i="34"/>
  <c r="H260" i="34" s="1"/>
  <c r="I261" i="34"/>
  <c r="I260" i="34" s="1"/>
  <c r="AJ150" i="34"/>
  <c r="AK150" i="34" s="1"/>
  <c r="AK151" i="34"/>
  <c r="AJ208" i="34"/>
  <c r="AK208" i="34" s="1"/>
  <c r="AJ134" i="34"/>
  <c r="AK134" i="34" s="1"/>
  <c r="AK135" i="34"/>
  <c r="AJ212" i="34"/>
  <c r="AK212" i="34" s="1"/>
  <c r="AK213" i="34"/>
  <c r="I168" i="34"/>
  <c r="I178" i="34"/>
  <c r="I183" i="34"/>
  <c r="AA9" i="34"/>
  <c r="AB10" i="34"/>
  <c r="AB105" i="34"/>
  <c r="AD33" i="34"/>
  <c r="AD50" i="34"/>
  <c r="AD176" i="34"/>
  <c r="AD147" i="34"/>
  <c r="AD97" i="34"/>
  <c r="AD37" i="34"/>
  <c r="AD213" i="34"/>
  <c r="AD178" i="34"/>
  <c r="AD234" i="34"/>
  <c r="AD168" i="34"/>
  <c r="AB125" i="34"/>
  <c r="AD125" i="34"/>
  <c r="AD111" i="34"/>
  <c r="AD155" i="34"/>
  <c r="AD158" i="34"/>
  <c r="AD144" i="34"/>
  <c r="AD80" i="34"/>
  <c r="AD141" i="34"/>
  <c r="AD153" i="34"/>
  <c r="AD26" i="34"/>
  <c r="AD92" i="34"/>
  <c r="AD209" i="34"/>
  <c r="AD165" i="34"/>
  <c r="AD135" i="34"/>
  <c r="AD74" i="34"/>
  <c r="AD163" i="34"/>
  <c r="AD101" i="34"/>
  <c r="AD121" i="34"/>
  <c r="AD203" i="34"/>
  <c r="AD132" i="34"/>
  <c r="AD118" i="34"/>
  <c r="AD227" i="34"/>
  <c r="AD58" i="34"/>
  <c r="AD200" i="34"/>
  <c r="AD161" i="34"/>
  <c r="AD134" i="34"/>
  <c r="AD64" i="34"/>
  <c r="AD148" i="34"/>
  <c r="AD71" i="34"/>
  <c r="AD114" i="34"/>
  <c r="AD76" i="34"/>
  <c r="AH278" i="34"/>
  <c r="AH150" i="34"/>
  <c r="AB151" i="34"/>
  <c r="AD151" i="34"/>
  <c r="AF8" i="34"/>
  <c r="AI8" i="34"/>
  <c r="AH32" i="34"/>
  <c r="AH190" i="34"/>
  <c r="AJ190" i="34"/>
  <c r="AK190" i="34" s="1"/>
  <c r="AF146" i="34"/>
  <c r="I289" i="34"/>
  <c r="Y218" i="34"/>
  <c r="AB218" i="34" s="1"/>
  <c r="AG56" i="34"/>
  <c r="Y286" i="34"/>
  <c r="AK191" i="34"/>
  <c r="AH229" i="34"/>
  <c r="AK239" i="34"/>
  <c r="AH157" i="34"/>
  <c r="AE56" i="34"/>
  <c r="AG99" i="34"/>
  <c r="AE8" i="34"/>
  <c r="AF99" i="34"/>
  <c r="I219" i="34"/>
  <c r="I218" i="34" s="1"/>
  <c r="I213" i="34"/>
  <c r="I212" i="34" s="1"/>
  <c r="AK245" i="34"/>
  <c r="AH286" i="34"/>
  <c r="AH117" i="34"/>
  <c r="AE99" i="34"/>
  <c r="AK240" i="34"/>
  <c r="AJ250" i="34"/>
  <c r="AH167" i="34"/>
  <c r="AE146" i="34"/>
  <c r="AB135" i="34"/>
  <c r="AH260" i="34"/>
  <c r="AF211" i="34"/>
  <c r="AH218" i="34"/>
  <c r="AE211" i="34"/>
  <c r="AB219" i="34"/>
  <c r="AF56" i="34"/>
  <c r="Y183" i="34"/>
  <c r="AB185" i="34"/>
  <c r="Y261" i="34"/>
  <c r="AB262" i="34"/>
  <c r="Y157" i="34"/>
  <c r="AB157" i="34" s="1"/>
  <c r="AC146" i="34"/>
  <c r="Y251" i="34"/>
  <c r="AB252" i="34"/>
  <c r="Y79" i="34"/>
  <c r="AB79" i="34" s="1"/>
  <c r="Y140" i="34"/>
  <c r="AB140" i="34" s="1"/>
  <c r="Y212" i="34"/>
  <c r="AB212" i="34" s="1"/>
  <c r="Z50" i="34"/>
  <c r="Z49" i="34" s="1"/>
  <c r="AC56" i="34"/>
  <c r="AB148" i="34"/>
  <c r="AH57" i="34"/>
  <c r="Y271" i="34"/>
  <c r="AB272" i="34"/>
  <c r="Y49" i="34"/>
  <c r="AB49" i="34" s="1"/>
  <c r="Y100" i="34"/>
  <c r="AB100" i="34" s="1"/>
  <c r="AG211" i="34"/>
  <c r="AH250" i="34"/>
  <c r="AH140" i="34"/>
  <c r="Y230" i="34"/>
  <c r="AD230" i="34" s="1"/>
  <c r="AB231" i="34"/>
  <c r="Y70" i="34"/>
  <c r="AB70" i="34" s="1"/>
  <c r="Y208" i="34"/>
  <c r="AB208" i="34" s="1"/>
  <c r="AJ279" i="34"/>
  <c r="AK280" i="34"/>
  <c r="Y191" i="34"/>
  <c r="AD191" i="34" s="1"/>
  <c r="Y9" i="34"/>
  <c r="Y240" i="34"/>
  <c r="AD240" i="34" s="1"/>
  <c r="AB241" i="34"/>
  <c r="Y246" i="34"/>
  <c r="AD246" i="34" s="1"/>
  <c r="AB247" i="34"/>
  <c r="Y279" i="34"/>
  <c r="AB280" i="34"/>
  <c r="Y57" i="34"/>
  <c r="AB57" i="34" s="1"/>
  <c r="Y117" i="34"/>
  <c r="AB117" i="34" s="1"/>
  <c r="Y150" i="34"/>
  <c r="Y202" i="34"/>
  <c r="AB202" i="34" s="1"/>
  <c r="AG146" i="34"/>
  <c r="AH70" i="34"/>
  <c r="AH100" i="34"/>
  <c r="AG8" i="34"/>
  <c r="AH9" i="34"/>
  <c r="AH79" i="34"/>
  <c r="AA146" i="34"/>
  <c r="AC99" i="34"/>
  <c r="AA99" i="34"/>
  <c r="AA56" i="34"/>
  <c r="Z70" i="34"/>
  <c r="H168" i="34"/>
  <c r="H251" i="34"/>
  <c r="V261" i="34"/>
  <c r="V279" i="34"/>
  <c r="I257" i="34"/>
  <c r="I279" i="34"/>
  <c r="H157" i="34"/>
  <c r="V289" i="34"/>
  <c r="H257" i="34"/>
  <c r="H279" i="34"/>
  <c r="H278" i="34" s="1"/>
  <c r="I271" i="34"/>
  <c r="V111" i="34"/>
  <c r="V158" i="34"/>
  <c r="I203" i="34"/>
  <c r="H240" i="34"/>
  <c r="H239" i="34" s="1"/>
  <c r="H289" i="34"/>
  <c r="H286" i="34" s="1"/>
  <c r="V141" i="34"/>
  <c r="V234" i="34"/>
  <c r="Y45" i="34"/>
  <c r="AB45" i="34" s="1"/>
  <c r="H183" i="34"/>
  <c r="V219" i="34"/>
  <c r="V218" i="34" s="1"/>
  <c r="H178" i="34"/>
  <c r="H203" i="34"/>
  <c r="H202" i="34" s="1"/>
  <c r="H234" i="34"/>
  <c r="H229" i="34" s="1"/>
  <c r="I246" i="34"/>
  <c r="V125" i="34"/>
  <c r="V178" i="34"/>
  <c r="V271" i="34"/>
  <c r="V270" i="34" s="1"/>
  <c r="H191" i="34"/>
  <c r="H190" i="34" s="1"/>
  <c r="H213" i="34"/>
  <c r="H212" i="34" s="1"/>
  <c r="V76" i="34"/>
  <c r="V213" i="34"/>
  <c r="V212" i="34" s="1"/>
  <c r="V246" i="34"/>
  <c r="V245" i="34" s="1"/>
  <c r="V257" i="34"/>
  <c r="H219" i="34"/>
  <c r="H218" i="34" s="1"/>
  <c r="I251" i="34"/>
  <c r="V105" i="34"/>
  <c r="V114" i="34"/>
  <c r="V121" i="34"/>
  <c r="V183" i="34"/>
  <c r="V203" i="34"/>
  <c r="V202" i="34" s="1"/>
  <c r="V251" i="34"/>
  <c r="V168" i="34"/>
  <c r="V135" i="34"/>
  <c r="V134" i="34" s="1"/>
  <c r="V191" i="34"/>
  <c r="I191" i="34"/>
  <c r="I234" i="34"/>
  <c r="I240" i="34"/>
  <c r="H271" i="34"/>
  <c r="H270" i="34" s="1"/>
  <c r="H150" i="34"/>
  <c r="I145" i="34"/>
  <c r="I144" i="34" s="1"/>
  <c r="H145" i="34"/>
  <c r="H144" i="34" s="1"/>
  <c r="H140" i="34" s="1"/>
  <c r="H143" i="34"/>
  <c r="I143" i="34"/>
  <c r="I142" i="34"/>
  <c r="H142" i="34"/>
  <c r="H137" i="34"/>
  <c r="I137" i="34"/>
  <c r="H138" i="34"/>
  <c r="I138" i="34"/>
  <c r="H139" i="34"/>
  <c r="I139" i="34"/>
  <c r="I136" i="34"/>
  <c r="H136" i="34"/>
  <c r="I133" i="34"/>
  <c r="I132" i="34" s="1"/>
  <c r="H133" i="34"/>
  <c r="H132" i="34" s="1"/>
  <c r="H127" i="34"/>
  <c r="I127" i="34"/>
  <c r="H128" i="34"/>
  <c r="I128" i="34"/>
  <c r="H129" i="34"/>
  <c r="I129" i="34"/>
  <c r="H130" i="34"/>
  <c r="I130" i="34"/>
  <c r="H131" i="34"/>
  <c r="I131" i="34"/>
  <c r="I126" i="34"/>
  <c r="H126" i="34"/>
  <c r="I124" i="34"/>
  <c r="H124" i="34"/>
  <c r="I123" i="34"/>
  <c r="H123" i="34"/>
  <c r="I122" i="34"/>
  <c r="H122" i="34"/>
  <c r="H120" i="34"/>
  <c r="I120" i="34"/>
  <c r="I119" i="34"/>
  <c r="H119" i="34"/>
  <c r="H118" i="34" s="1"/>
  <c r="H116" i="34"/>
  <c r="I116" i="34"/>
  <c r="I115" i="34"/>
  <c r="H115" i="34"/>
  <c r="H113" i="34"/>
  <c r="I113" i="34"/>
  <c r="I112" i="34"/>
  <c r="H112" i="34"/>
  <c r="H111" i="34" s="1"/>
  <c r="H107" i="34"/>
  <c r="I107" i="34"/>
  <c r="H108" i="34"/>
  <c r="I108" i="34"/>
  <c r="H109" i="34"/>
  <c r="I109" i="34"/>
  <c r="H110" i="34"/>
  <c r="I106" i="34"/>
  <c r="H106" i="34"/>
  <c r="I104" i="34"/>
  <c r="H104" i="34"/>
  <c r="I103" i="34"/>
  <c r="H103" i="34"/>
  <c r="I102" i="34"/>
  <c r="H102" i="34"/>
  <c r="I98" i="34"/>
  <c r="H98" i="34"/>
  <c r="H97" i="34" s="1"/>
  <c r="H94" i="34"/>
  <c r="I94" i="34"/>
  <c r="H95" i="34"/>
  <c r="I95" i="34"/>
  <c r="H96" i="34"/>
  <c r="I96" i="34"/>
  <c r="I93" i="34"/>
  <c r="H93" i="34"/>
  <c r="I89" i="34"/>
  <c r="I90" i="34"/>
  <c r="I91" i="34"/>
  <c r="I87" i="34"/>
  <c r="I88" i="34"/>
  <c r="I81" i="34"/>
  <c r="H89" i="34"/>
  <c r="H90" i="34"/>
  <c r="H91" i="34"/>
  <c r="H86" i="34"/>
  <c r="H87" i="34"/>
  <c r="H88" i="34"/>
  <c r="H82" i="34"/>
  <c r="H83" i="34"/>
  <c r="H84" i="34"/>
  <c r="H85" i="34"/>
  <c r="H81" i="34"/>
  <c r="I78" i="34"/>
  <c r="I76" i="34" s="1"/>
  <c r="H78" i="34"/>
  <c r="H77" i="34"/>
  <c r="H75" i="34"/>
  <c r="I72" i="34"/>
  <c r="I71" i="34" s="1"/>
  <c r="H73" i="34"/>
  <c r="H72" i="34"/>
  <c r="I67" i="34"/>
  <c r="I66" i="34"/>
  <c r="I62" i="34"/>
  <c r="I60" i="34"/>
  <c r="I55" i="34"/>
  <c r="I54" i="34"/>
  <c r="I53" i="34"/>
  <c r="I21" i="34"/>
  <c r="I22" i="34"/>
  <c r="I18" i="34"/>
  <c r="I13" i="34"/>
  <c r="I14" i="34"/>
  <c r="I15" i="34"/>
  <c r="I12" i="34"/>
  <c r="H66" i="34"/>
  <c r="H67" i="34"/>
  <c r="H68" i="34"/>
  <c r="H69" i="34"/>
  <c r="H65" i="34"/>
  <c r="H60" i="34"/>
  <c r="H61" i="34"/>
  <c r="H62" i="34"/>
  <c r="H58" i="34" s="1"/>
  <c r="H63" i="34"/>
  <c r="H59" i="34"/>
  <c r="H55" i="34"/>
  <c r="H54" i="34"/>
  <c r="H53" i="34"/>
  <c r="H52" i="34"/>
  <c r="H51" i="34"/>
  <c r="H48" i="34"/>
  <c r="H47" i="34"/>
  <c r="H46" i="34"/>
  <c r="I39" i="34"/>
  <c r="I40" i="34"/>
  <c r="I41" i="34"/>
  <c r="I42" i="34"/>
  <c r="I44" i="34"/>
  <c r="H41" i="34"/>
  <c r="H42" i="34"/>
  <c r="H43" i="34"/>
  <c r="H44" i="34"/>
  <c r="H39" i="34"/>
  <c r="H40" i="34"/>
  <c r="H38" i="34"/>
  <c r="I35" i="34"/>
  <c r="I36" i="34"/>
  <c r="I34" i="34"/>
  <c r="H35" i="34"/>
  <c r="H36" i="34"/>
  <c r="I28" i="34"/>
  <c r="I29" i="34"/>
  <c r="I30" i="34"/>
  <c r="I31" i="34"/>
  <c r="I27" i="34"/>
  <c r="H28" i="34"/>
  <c r="H29" i="34"/>
  <c r="H30" i="34"/>
  <c r="H31" i="34"/>
  <c r="H27" i="34"/>
  <c r="H25" i="34"/>
  <c r="H24" i="34"/>
  <c r="H80" i="34" l="1"/>
  <c r="H79" i="34" s="1"/>
  <c r="AE296" i="34"/>
  <c r="AF296" i="34"/>
  <c r="AG296" i="34"/>
  <c r="I101" i="34"/>
  <c r="I50" i="34"/>
  <c r="I49" i="34" s="1"/>
  <c r="I167" i="34"/>
  <c r="I125" i="34"/>
  <c r="I105" i="34"/>
  <c r="I37" i="34"/>
  <c r="H37" i="34"/>
  <c r="I26" i="34"/>
  <c r="H23" i="34"/>
  <c r="I10" i="34"/>
  <c r="AD218" i="34"/>
  <c r="AD49" i="34"/>
  <c r="AD208" i="34"/>
  <c r="AD140" i="34"/>
  <c r="AD117" i="34"/>
  <c r="AD100" i="34"/>
  <c r="AB183" i="34"/>
  <c r="AD183" i="34"/>
  <c r="Y270" i="34"/>
  <c r="AD271" i="34"/>
  <c r="Y32" i="34"/>
  <c r="Y8" i="34" s="1"/>
  <c r="AD45" i="34"/>
  <c r="Y278" i="34"/>
  <c r="AD279" i="34"/>
  <c r="Y250" i="34"/>
  <c r="AD251" i="34"/>
  <c r="Y260" i="34"/>
  <c r="AD261" i="34"/>
  <c r="AD57" i="34"/>
  <c r="AD157" i="34"/>
  <c r="AD79" i="34"/>
  <c r="AD212" i="34"/>
  <c r="AD202" i="34"/>
  <c r="AD70" i="34"/>
  <c r="AH146" i="34"/>
  <c r="AB150" i="34"/>
  <c r="AD150" i="34"/>
  <c r="H101" i="34"/>
  <c r="AH211" i="34"/>
  <c r="AH99" i="34"/>
  <c r="Y56" i="34"/>
  <c r="AB56" i="34" s="1"/>
  <c r="H250" i="34"/>
  <c r="H211" i="34" s="1"/>
  <c r="AH56" i="34"/>
  <c r="Y99" i="34"/>
  <c r="AB99" i="34" s="1"/>
  <c r="AB246" i="34"/>
  <c r="Y245" i="34"/>
  <c r="AB191" i="34"/>
  <c r="Y190" i="34"/>
  <c r="Y239" i="34"/>
  <c r="AB240" i="34"/>
  <c r="AB230" i="34"/>
  <c r="Y229" i="34"/>
  <c r="Y167" i="34"/>
  <c r="H45" i="34"/>
  <c r="I58" i="34"/>
  <c r="H76" i="34"/>
  <c r="H70" i="34" s="1"/>
  <c r="H125" i="34"/>
  <c r="V229" i="34"/>
  <c r="H105" i="34"/>
  <c r="I121" i="34"/>
  <c r="H167" i="34"/>
  <c r="H50" i="34"/>
  <c r="H49" i="34" s="1"/>
  <c r="I64" i="34"/>
  <c r="H135" i="34"/>
  <c r="H134" i="34" s="1"/>
  <c r="I111" i="34"/>
  <c r="I33" i="34"/>
  <c r="H64" i="34"/>
  <c r="H57" i="34" s="1"/>
  <c r="I114" i="34"/>
  <c r="I118" i="34"/>
  <c r="I135" i="34"/>
  <c r="I80" i="34"/>
  <c r="H121" i="34"/>
  <c r="H114" i="34"/>
  <c r="H33" i="34"/>
  <c r="I141" i="34"/>
  <c r="I92" i="34"/>
  <c r="H26" i="34"/>
  <c r="AH296" i="34" l="1"/>
  <c r="AB167" i="34"/>
  <c r="AD167" i="34"/>
  <c r="AB239" i="34"/>
  <c r="AD239" i="34"/>
  <c r="AB270" i="34"/>
  <c r="AD270" i="34"/>
  <c r="AB229" i="34"/>
  <c r="AD229" i="34"/>
  <c r="AB190" i="34"/>
  <c r="AD190" i="34"/>
  <c r="AD99" i="34"/>
  <c r="AB32" i="34"/>
  <c r="AD32" i="34"/>
  <c r="AB245" i="34"/>
  <c r="AD245" i="34"/>
  <c r="AD56" i="34"/>
  <c r="H32" i="34"/>
  <c r="I57" i="34"/>
  <c r="Y211" i="34"/>
  <c r="Y146" i="34"/>
  <c r="H117" i="34"/>
  <c r="H100" i="34"/>
  <c r="H56" i="34"/>
  <c r="Y296" i="34" l="1"/>
  <c r="AB146" i="34"/>
  <c r="AD146" i="34"/>
  <c r="V244" i="34"/>
  <c r="V243" i="34"/>
  <c r="V242" i="34"/>
  <c r="V241" i="34"/>
  <c r="AJ233" i="34"/>
  <c r="AK233" i="34" s="1"/>
  <c r="AJ232" i="34"/>
  <c r="AK232" i="34" s="1"/>
  <c r="AJ231" i="34"/>
  <c r="AK231" i="34" s="1"/>
  <c r="AI218" i="34"/>
  <c r="AJ226" i="34"/>
  <c r="AK226" i="34" s="1"/>
  <c r="AJ225" i="34"/>
  <c r="AK225" i="34" s="1"/>
  <c r="AJ224" i="34"/>
  <c r="AK224" i="34" s="1"/>
  <c r="AJ223" i="34"/>
  <c r="AK223" i="34" s="1"/>
  <c r="AJ222" i="34"/>
  <c r="AK222" i="34" s="1"/>
  <c r="AJ221" i="34"/>
  <c r="AK221" i="34" s="1"/>
  <c r="AJ220" i="34"/>
  <c r="H146" i="34"/>
  <c r="U125" i="34"/>
  <c r="AJ122" i="34"/>
  <c r="AK122" i="34" s="1"/>
  <c r="AJ119" i="34"/>
  <c r="AK119" i="34" s="1"/>
  <c r="V119" i="34"/>
  <c r="V118" i="34" s="1"/>
  <c r="AJ112" i="34"/>
  <c r="AJ106" i="34"/>
  <c r="AK106" i="34" s="1"/>
  <c r="AJ102" i="34"/>
  <c r="V102" i="34"/>
  <c r="V101" i="34" s="1"/>
  <c r="R99" i="34"/>
  <c r="Q99" i="34"/>
  <c r="P99" i="34"/>
  <c r="AJ98" i="34"/>
  <c r="AK98" i="34" s="1"/>
  <c r="AI97" i="34"/>
  <c r="Z97" i="34"/>
  <c r="AJ96" i="34"/>
  <c r="AK96" i="34" s="1"/>
  <c r="AJ95" i="34"/>
  <c r="AK95" i="34" s="1"/>
  <c r="AJ94" i="34"/>
  <c r="AK94" i="34" s="1"/>
  <c r="AJ93" i="34"/>
  <c r="AK93" i="34" s="1"/>
  <c r="V93" i="34"/>
  <c r="V92" i="34" s="1"/>
  <c r="AI92" i="34"/>
  <c r="Z92" i="34"/>
  <c r="AJ81" i="34"/>
  <c r="V81" i="34"/>
  <c r="V80" i="34" s="1"/>
  <c r="AJ78" i="34"/>
  <c r="AK78" i="34" s="1"/>
  <c r="AJ77" i="34"/>
  <c r="AJ75" i="34"/>
  <c r="AK75" i="34" s="1"/>
  <c r="AI74" i="34"/>
  <c r="I74" i="34"/>
  <c r="I70" i="34" s="1"/>
  <c r="AJ73" i="34"/>
  <c r="AK73" i="34" s="1"/>
  <c r="AJ72" i="34"/>
  <c r="AK72" i="34" s="1"/>
  <c r="V72" i="34"/>
  <c r="V71" i="34" s="1"/>
  <c r="V70" i="34" s="1"/>
  <c r="AJ69" i="34"/>
  <c r="AK69" i="34" s="1"/>
  <c r="AJ68" i="34"/>
  <c r="AK68" i="34" s="1"/>
  <c r="AJ67" i="34"/>
  <c r="AK67" i="34" s="1"/>
  <c r="AJ66" i="34"/>
  <c r="AK66" i="34" s="1"/>
  <c r="AJ65" i="34"/>
  <c r="V65" i="34"/>
  <c r="V64" i="34" s="1"/>
  <c r="Z57" i="34"/>
  <c r="AJ59" i="34"/>
  <c r="AJ51" i="34"/>
  <c r="AK51" i="34" s="1"/>
  <c r="V51" i="34"/>
  <c r="V50" i="34" s="1"/>
  <c r="V49" i="34" s="1"/>
  <c r="AJ48" i="34"/>
  <c r="AK48" i="34" s="1"/>
  <c r="I48" i="34"/>
  <c r="AJ47" i="34"/>
  <c r="AK47" i="34" s="1"/>
  <c r="I47" i="34"/>
  <c r="AJ46" i="34"/>
  <c r="AK46" i="34" s="1"/>
  <c r="V46" i="34"/>
  <c r="V45" i="34" s="1"/>
  <c r="AJ38" i="34"/>
  <c r="AK38" i="34" s="1"/>
  <c r="AJ36" i="34"/>
  <c r="AK36" i="34" s="1"/>
  <c r="AJ35" i="34"/>
  <c r="AK35" i="34" s="1"/>
  <c r="AJ34" i="34"/>
  <c r="V34" i="34"/>
  <c r="V33" i="34" s="1"/>
  <c r="Z33" i="34"/>
  <c r="Z32" i="34" s="1"/>
  <c r="AJ31" i="34"/>
  <c r="AK31" i="34" s="1"/>
  <c r="AJ30" i="34"/>
  <c r="AK30" i="34" s="1"/>
  <c r="AJ29" i="34"/>
  <c r="AK29" i="34" s="1"/>
  <c r="AJ28" i="34"/>
  <c r="AK28" i="34" s="1"/>
  <c r="AJ27" i="34"/>
  <c r="V27" i="34"/>
  <c r="AJ25" i="34"/>
  <c r="AK25" i="34" s="1"/>
  <c r="I25" i="34"/>
  <c r="AJ24" i="34"/>
  <c r="AK24" i="34" s="1"/>
  <c r="V24" i="34"/>
  <c r="V23" i="34" s="1"/>
  <c r="I24" i="34"/>
  <c r="AC23" i="34"/>
  <c r="AD23" i="34" s="1"/>
  <c r="Z23" i="34"/>
  <c r="H22" i="34"/>
  <c r="H21" i="34"/>
  <c r="H20" i="34"/>
  <c r="H18" i="34"/>
  <c r="H17" i="34"/>
  <c r="H16" i="34"/>
  <c r="H15" i="34"/>
  <c r="H14" i="34"/>
  <c r="H13" i="34"/>
  <c r="H12" i="34"/>
  <c r="V11" i="34"/>
  <c r="V10" i="34" s="1"/>
  <c r="H11" i="34"/>
  <c r="AH8" i="34"/>
  <c r="B4" i="34"/>
  <c r="A2" i="34"/>
  <c r="Z79" i="34" l="1"/>
  <c r="Z56" i="34" s="1"/>
  <c r="H10" i="34"/>
  <c r="H9" i="34" s="1"/>
  <c r="H8" i="34" s="1"/>
  <c r="AI79" i="34"/>
  <c r="V240" i="34"/>
  <c r="V239" i="34" s="1"/>
  <c r="AK27" i="34"/>
  <c r="AJ26" i="34"/>
  <c r="AK26" i="34" s="1"/>
  <c r="AK77" i="34"/>
  <c r="AJ76" i="34"/>
  <c r="AJ105" i="34"/>
  <c r="AK105" i="34" s="1"/>
  <c r="AJ33" i="34"/>
  <c r="AK33" i="34" s="1"/>
  <c r="AK34" i="34"/>
  <c r="AJ50" i="34"/>
  <c r="AK65" i="34"/>
  <c r="AJ64" i="34"/>
  <c r="AK64" i="34" s="1"/>
  <c r="AK112" i="34"/>
  <c r="AJ111" i="34"/>
  <c r="AK111" i="34" s="1"/>
  <c r="AJ121" i="34"/>
  <c r="AK121" i="34" s="1"/>
  <c r="AJ219" i="34"/>
  <c r="AK220" i="34"/>
  <c r="AJ230" i="34"/>
  <c r="AK230" i="34" s="1"/>
  <c r="AJ10" i="34"/>
  <c r="AK10" i="34" s="1"/>
  <c r="AK59" i="34"/>
  <c r="V58" i="34" s="1"/>
  <c r="V57" i="34" s="1"/>
  <c r="AJ58" i="34"/>
  <c r="AC9" i="34"/>
  <c r="AD9" i="34" s="1"/>
  <c r="AJ45" i="34"/>
  <c r="AK45" i="34" s="1"/>
  <c r="AJ71" i="34"/>
  <c r="AK71" i="34" s="1"/>
  <c r="AJ74" i="34"/>
  <c r="AK74" i="34" s="1"/>
  <c r="AK81" i="34"/>
  <c r="AJ80" i="34"/>
  <c r="AK80" i="34" s="1"/>
  <c r="AK102" i="34"/>
  <c r="AJ101" i="34"/>
  <c r="AK101" i="34" s="1"/>
  <c r="AJ118" i="34"/>
  <c r="V79" i="34"/>
  <c r="I45" i="34"/>
  <c r="I32" i="34" s="1"/>
  <c r="AJ23" i="34"/>
  <c r="I23" i="34"/>
  <c r="I9" i="34" s="1"/>
  <c r="AJ97" i="34"/>
  <c r="AK97" i="34" s="1"/>
  <c r="AJ92" i="34"/>
  <c r="AK92" i="34" s="1"/>
  <c r="I229" i="34"/>
  <c r="H99" i="34"/>
  <c r="V37" i="34"/>
  <c r="I239" i="34"/>
  <c r="AJ37" i="34"/>
  <c r="Z9" i="34"/>
  <c r="I97" i="34"/>
  <c r="I79" i="34" s="1"/>
  <c r="I56" i="34" s="1"/>
  <c r="Z167" i="34"/>
  <c r="AK246" i="34"/>
  <c r="H296" i="34" l="1"/>
  <c r="I8" i="34"/>
  <c r="AJ100" i="34"/>
  <c r="AK100" i="34" s="1"/>
  <c r="AJ57" i="34"/>
  <c r="AK57" i="34" s="1"/>
  <c r="AK58" i="34"/>
  <c r="AJ70" i="34"/>
  <c r="AJ229" i="34"/>
  <c r="AK229" i="34" s="1"/>
  <c r="AK118" i="34"/>
  <c r="AJ117" i="34"/>
  <c r="AK117" i="34" s="1"/>
  <c r="AC8" i="34"/>
  <c r="AJ218" i="34"/>
  <c r="AK219" i="34"/>
  <c r="AJ49" i="34"/>
  <c r="AK49" i="34" s="1"/>
  <c r="AK50" i="34"/>
  <c r="AI157" i="34"/>
  <c r="AI167" i="34"/>
  <c r="AJ79" i="34"/>
  <c r="AK23" i="34"/>
  <c r="AJ9" i="34"/>
  <c r="AK37" i="34"/>
  <c r="AJ32" i="34"/>
  <c r="AD8" i="34" l="1"/>
  <c r="AK9" i="34"/>
  <c r="AJ8" i="34"/>
  <c r="AI146" i="34"/>
  <c r="AK218" i="34"/>
  <c r="AK79" i="34"/>
  <c r="AJ56" i="34"/>
  <c r="AK32" i="34"/>
  <c r="Z146" i="34"/>
  <c r="AI99" i="34" l="1"/>
  <c r="AK76" i="34"/>
  <c r="AI70" i="34"/>
  <c r="Z100" i="34"/>
  <c r="Z117" i="34"/>
  <c r="AK203" i="34"/>
  <c r="AI56" i="34" l="1"/>
  <c r="AK70" i="34"/>
  <c r="Z99" i="34"/>
  <c r="AK56" i="34" l="1"/>
  <c r="Z8" i="34"/>
  <c r="AK176" i="34" l="1"/>
  <c r="AJ167" i="34"/>
  <c r="AK167" i="34" s="1"/>
  <c r="AJ157" i="34" l="1"/>
  <c r="AK157" i="34" s="1"/>
  <c r="AJ146" i="34" l="1"/>
  <c r="AK146" i="34" s="1"/>
  <c r="AJ140" i="34"/>
  <c r="AK140" i="34" s="1"/>
  <c r="M99" i="34"/>
  <c r="AJ99" i="34" l="1"/>
  <c r="L99" i="34"/>
  <c r="O99" i="34"/>
  <c r="K99" i="34"/>
  <c r="N99" i="34"/>
  <c r="AK99" i="34" l="1"/>
  <c r="AA8" i="34"/>
  <c r="AB8" i="34" l="1"/>
  <c r="AB9" i="34"/>
  <c r="AK8" i="34" l="1"/>
  <c r="AB251" i="34" l="1"/>
  <c r="AK251" i="34"/>
  <c r="I100" i="34" l="1"/>
  <c r="I117" i="34"/>
  <c r="I134" i="34"/>
  <c r="I140" i="34"/>
  <c r="I150" i="34"/>
  <c r="I157" i="34"/>
  <c r="I190" i="34"/>
  <c r="I202" i="34"/>
  <c r="I245" i="34"/>
  <c r="I250" i="34"/>
  <c r="I270" i="34"/>
  <c r="I278" i="34"/>
  <c r="V32" i="34"/>
  <c r="V26" i="34" s="1"/>
  <c r="V56" i="34"/>
  <c r="V100" i="34"/>
  <c r="V117" i="34"/>
  <c r="V140" i="34"/>
  <c r="V150" i="34"/>
  <c r="V157" i="34"/>
  <c r="V167" i="34"/>
  <c r="V190" i="34"/>
  <c r="V250" i="34"/>
  <c r="V260" i="34"/>
  <c r="V278" i="34"/>
  <c r="V286" i="34"/>
  <c r="V211" i="34" l="1"/>
  <c r="V9" i="34"/>
  <c r="V8" i="34" s="1"/>
  <c r="I99" i="34"/>
  <c r="V99" i="34"/>
  <c r="V146" i="34"/>
  <c r="I146" i="34"/>
  <c r="V296" i="34" l="1"/>
  <c r="Z250" i="34"/>
  <c r="Z278" i="34"/>
  <c r="Z286" i="34"/>
  <c r="AB257" i="34"/>
  <c r="AA250" i="34"/>
  <c r="AB250" i="34" s="1"/>
  <c r="Z211" i="34" l="1"/>
  <c r="Z296" i="34" s="1"/>
  <c r="AB261" i="34"/>
  <c r="AC250" i="34"/>
  <c r="AD250" i="34" s="1"/>
  <c r="AB266" i="34" l="1"/>
  <c r="AB268" i="34"/>
  <c r="AA260" i="34"/>
  <c r="AB260" i="34" s="1"/>
  <c r="AB279" i="34" l="1"/>
  <c r="AB271" i="34" l="1"/>
  <c r="AC260" i="34"/>
  <c r="AD260" i="34" s="1"/>
  <c r="AB282" i="34" l="1"/>
  <c r="AB284" i="34"/>
  <c r="AA278" i="34"/>
  <c r="AB278" i="34" s="1"/>
  <c r="AB287" i="34" l="1"/>
  <c r="AC278" i="34"/>
  <c r="AD278" i="34" s="1"/>
  <c r="AB289" i="34" l="1"/>
  <c r="AA286" i="34"/>
  <c r="AB286" i="34" s="1"/>
  <c r="AA211" i="34" l="1"/>
  <c r="AA296" i="34" s="1"/>
  <c r="AB296" i="34" s="1"/>
  <c r="AB211" i="34" l="1"/>
  <c r="AC286" i="34"/>
  <c r="AD286" i="34" s="1"/>
  <c r="AC211" i="34" l="1"/>
  <c r="AC296" i="34" s="1"/>
  <c r="AD296" i="34" s="1"/>
  <c r="AI250" i="34"/>
  <c r="AK257" i="34"/>
  <c r="AD211" i="34" l="1"/>
  <c r="AK250" i="34"/>
  <c r="AK261" i="34" l="1"/>
  <c r="AK266" i="34"/>
  <c r="AI260" i="34"/>
  <c r="AK271" i="34"/>
  <c r="AK279" i="34"/>
  <c r="AK282" i="34"/>
  <c r="AI278" i="34"/>
  <c r="AK284" i="34"/>
  <c r="AJ278" i="34"/>
  <c r="AK287" i="34"/>
  <c r="AI286" i="34"/>
  <c r="AK289" i="34"/>
  <c r="AJ286" i="34"/>
  <c r="AI211" i="34" l="1"/>
  <c r="AI296" i="34" s="1"/>
  <c r="AK278" i="34"/>
  <c r="AK286" i="34"/>
  <c r="AK268" i="34"/>
  <c r="AJ260" i="34"/>
  <c r="AJ211" i="34" s="1"/>
  <c r="AJ296" i="34" s="1"/>
  <c r="AK296" i="34" l="1"/>
  <c r="AK211" i="34"/>
  <c r="AK260" i="34"/>
  <c r="I286" i="34"/>
  <c r="I211" i="34" l="1"/>
  <c r="I296"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tc={B5E11FDD-249A-46D6-9EB8-032219DE3320}</author>
    <author>Usuario</author>
    <author/>
  </authors>
  <commentList>
    <comment ref="J6" authorId="0" shapeId="0" xr:uid="{5BB8BE9F-86A4-4E4C-8A16-A2A536490E1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diligenciamiento de la información correspondiente a la relación de evidencias que soportan la ejecución de cada una de las actividades, ubicada en las columnas K a la R del Anexo 1, es opcional para el reporte de la vigencia 2021.</t>
        </r>
      </text>
    </comment>
    <comment ref="K6" authorId="1" shapeId="0" xr:uid="{82C2EA92-EB5C-44D7-BD5C-A9ACE4EB6DFF}">
      <text>
        <r>
          <rPr>
            <b/>
            <sz val="9"/>
            <color indexed="81"/>
            <rFont val="Tahoma"/>
            <family val="2"/>
          </rPr>
          <t>Usuario:</t>
        </r>
        <r>
          <rPr>
            <sz val="9"/>
            <color indexed="81"/>
            <rFont val="Tahoma"/>
            <family val="2"/>
          </rPr>
          <t xml:space="preserve">
Fecha en la cual se hace el registro de la evidencia</t>
        </r>
      </text>
    </comment>
    <comment ref="L6" authorId="1" shapeId="0" xr:uid="{3DF9AEA8-8A5D-4795-AC0A-A3E15DF7AFEF}">
      <text>
        <r>
          <rPr>
            <b/>
            <sz val="9"/>
            <color indexed="81"/>
            <rFont val="Tahoma"/>
            <family val="2"/>
          </rPr>
          <t>Usuario:</t>
        </r>
        <r>
          <rPr>
            <sz val="9"/>
            <color indexed="81"/>
            <rFont val="Tahoma"/>
            <family val="2"/>
          </rPr>
          <t xml:space="preserve">
Seleccionar si es contrato o funcionamiento </t>
        </r>
      </text>
    </comment>
    <comment ref="M6" authorId="1" shapeId="0" xr:uid="{9F2F4850-ECBA-45B4-9B20-E9D48837E405}">
      <text>
        <r>
          <rPr>
            <b/>
            <sz val="9"/>
            <color indexed="81"/>
            <rFont val="Tahoma"/>
            <family val="2"/>
          </rPr>
          <t>Usuario:</t>
        </r>
        <r>
          <rPr>
            <sz val="9"/>
            <color indexed="81"/>
            <rFont val="Tahoma"/>
            <family val="2"/>
          </rPr>
          <t xml:space="preserve">
Si en tipo de evidencia se selecciona funcionamiento, se debe  escribir como se realizó la actividad</t>
        </r>
      </text>
    </comment>
    <comment ref="N6" authorId="1" shapeId="0" xr:uid="{7F15C002-9C5A-4F05-94B8-615F3A268C3F}">
      <text>
        <r>
          <rPr>
            <b/>
            <sz val="9"/>
            <color indexed="81"/>
            <rFont val="Tahoma"/>
            <family val="2"/>
          </rPr>
          <t>Usuario:</t>
        </r>
        <r>
          <rPr>
            <sz val="9"/>
            <color indexed="81"/>
            <rFont val="Tahoma"/>
            <family val="2"/>
          </rPr>
          <t xml:space="preserve">
Solo si en tipo de evidencia  selecciona la opción contrato, debe indicar el estado en que se encuentra de acuerdo a la lista desplegable. </t>
        </r>
      </text>
    </comment>
    <comment ref="O6" authorId="1" shapeId="0" xr:uid="{636EA8F1-7A91-4887-A932-A45F437322ED}">
      <text>
        <r>
          <rPr>
            <b/>
            <sz val="9"/>
            <color indexed="81"/>
            <rFont val="Tahoma"/>
            <family val="2"/>
          </rPr>
          <t>Usuario:</t>
        </r>
        <r>
          <rPr>
            <sz val="9"/>
            <color indexed="81"/>
            <rFont val="Tahoma"/>
            <family val="2"/>
          </rPr>
          <t xml:space="preserve">
Solo si en tipo de evidencia  selecciona la opción contrato, ingrese la información del número de contrato. Si son varios, separelos con una coma.</t>
        </r>
      </text>
    </comment>
    <comment ref="P6" authorId="1" shapeId="0" xr:uid="{4EB1F611-F3EB-4D5E-B4D5-498BB437B041}">
      <text>
        <r>
          <rPr>
            <b/>
            <sz val="9"/>
            <color indexed="81"/>
            <rFont val="Tahoma"/>
            <family val="2"/>
          </rPr>
          <t>Usuario:</t>
        </r>
        <r>
          <rPr>
            <sz val="9"/>
            <color indexed="81"/>
            <rFont val="Tahoma"/>
            <family val="2"/>
          </rPr>
          <t xml:space="preserve">
• Es obligatorio asociar valor si se celebro un contrato, en caso contrario, es opcional el indicar o no, el valor que va a gastar en la actividad</t>
        </r>
      </text>
    </comment>
    <comment ref="Q6" authorId="1" shapeId="0" xr:uid="{A58F9890-6D4A-4C89-AA56-AC211672A09E}">
      <text>
        <r>
          <rPr>
            <b/>
            <sz val="9"/>
            <color indexed="81"/>
            <rFont val="Tahoma"/>
            <family val="2"/>
          </rPr>
          <t>Usuario:</t>
        </r>
        <r>
          <rPr>
            <sz val="9"/>
            <color indexed="81"/>
            <rFont val="Tahoma"/>
            <family val="2"/>
          </rPr>
          <t xml:space="preserve">
Indique el valor pagado por la actividad a la fecha del reporte.</t>
        </r>
      </text>
    </comment>
    <comment ref="R6" authorId="1" shapeId="0" xr:uid="{C6007A9B-7E01-461A-AFC5-900501CBF8EA}">
      <text>
        <r>
          <rPr>
            <b/>
            <sz val="9"/>
            <color indexed="81"/>
            <rFont val="Tahoma"/>
            <family val="2"/>
          </rPr>
          <t>Usuario:</t>
        </r>
        <r>
          <rPr>
            <sz val="9"/>
            <color indexed="81"/>
            <rFont val="Tahoma"/>
            <family val="2"/>
          </rPr>
          <t xml:space="preserve">
Indique la fecha en la cual se realizó el pago. </t>
        </r>
      </text>
    </comment>
    <comment ref="V6" authorId="1" shapeId="0" xr:uid="{23720E73-1579-4640-BA98-1CEBD72D4112}">
      <text>
        <r>
          <rPr>
            <b/>
            <sz val="9"/>
            <color indexed="81"/>
            <rFont val="Tahoma"/>
            <family val="2"/>
          </rPr>
          <t>Usuario:</t>
        </r>
        <r>
          <rPr>
            <sz val="9"/>
            <color indexed="81"/>
            <rFont val="Tahoma"/>
            <family val="2"/>
          </rPr>
          <t xml:space="preserve">
Para el cálculo de avance de las líneas, programas y proyectos se debe tener en cuenta el valor de ponderación global  13</t>
        </r>
      </text>
    </comment>
    <comment ref="W6" authorId="1" shapeId="0" xr:uid="{1122D6E3-908A-4C2C-AAD8-B38860F16B20}">
      <text>
        <r>
          <rPr>
            <b/>
            <sz val="9"/>
            <color indexed="81"/>
            <rFont val="Tahoma"/>
            <family val="2"/>
          </rPr>
          <t>Usuario:</t>
        </r>
        <r>
          <rPr>
            <sz val="9"/>
            <color indexed="81"/>
            <rFont val="Tahoma"/>
            <family val="2"/>
          </rPr>
          <t xml:space="preserve">
Ponderación definida para todo el periodo administrativo (2020-2023)</t>
        </r>
      </text>
    </comment>
    <comment ref="X6" authorId="1" shapeId="0" xr:uid="{F75B5E6A-7B78-4C9B-A61E-DDCE83541009}">
      <text>
        <r>
          <rPr>
            <b/>
            <sz val="9"/>
            <color indexed="81"/>
            <rFont val="Tahoma"/>
            <family val="2"/>
          </rPr>
          <t>Usuario:</t>
        </r>
        <r>
          <rPr>
            <sz val="9"/>
            <color indexed="81"/>
            <rFont val="Tahoma"/>
            <family val="2"/>
          </rPr>
          <t xml:space="preserve">
Indique el valor de las ponderaciones o pesos definidos para cada uno de los componente del PAI en la vigencia objeto de reporte. Si hay actividades que no tienen meta asociada para el periodo el valor de distribución de las ponderaciones debe distribuirse de forma proporcional entre las actividades que si tienen meta para la vigencia.</t>
        </r>
      </text>
    </comment>
    <comment ref="AO11" authorId="2" shapeId="0" xr:uid="{A9642978-3F75-4CB0-974C-658C82616A8F}">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13" authorId="2" shapeId="0" xr:uid="{14FAE60F-EF76-458D-B841-BCA4C1E922D0}">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16" authorId="2" shapeId="0" xr:uid="{309FF925-B67C-4A52-ABBD-7CF4887EE509}">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19" authorId="2" shapeId="0" xr:uid="{10C81AA6-6FA8-4AFE-B8D5-014B5E2F1E09}">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Nivel de estrés hídrico: extracción de agua dulce como proporción de los recursos de agua dulce disponibles
</t>
        </r>
      </text>
    </comment>
    <comment ref="AO20" authorId="2" shapeId="0" xr:uid="{812A7331-8438-412F-87B0-7FC084EF047F}">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21" authorId="2" shapeId="0" xr:uid="{014FE4A5-BE17-49AE-8FA0-28CB91D100B3}">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22" authorId="2" shapeId="0" xr:uid="{208CA32A-57B4-448B-988E-A4C728238ABD}">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31" authorId="2" shapeId="0" xr:uid="{0CF0C763-F721-4234-BDD1-41A092D73EC5}">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el que aqui se indica
</t>
        </r>
      </text>
    </comment>
    <comment ref="AO36" authorId="2" shapeId="0" xr:uid="{23BF5783-BB32-4AE1-8481-1236C042900D}">
      <text>
        <r>
          <rPr>
            <sz val="11"/>
            <color theme="1"/>
            <rFont val="Arial"/>
            <family val="2"/>
          </rPr>
          <t xml:space="preserve">Esta actividad no la tienen articulada a ningún ODS pero la meta podría estar asociada al indicador 144
</t>
        </r>
      </text>
    </comment>
    <comment ref="AO38" authorId="2" shapeId="0" xr:uid="{F050D4A8-F9E6-44BA-B168-8F8152560870}">
      <text>
        <r>
          <rPr>
            <sz val="11"/>
            <color theme="1"/>
            <rFont val="Arial"/>
            <family val="2"/>
          </rPr>
          <t xml:space="preserve">Lo articulan con la meta: Aumentar considerablemente el uso eficiente de los recursos hídricos en todos los sectores al 2030
</t>
        </r>
      </text>
    </comment>
    <comment ref="AO39" authorId="2" shapeId="0" xr:uid="{537E8B16-395A-49C3-8106-69B920B33D29}">
      <text>
        <r>
          <rPr>
            <sz val="11"/>
            <color theme="1"/>
            <rFont val="Arial"/>
            <family val="2"/>
          </rPr>
          <t xml:space="preserve">Estas actividades no las encontre articuladas a ODS en el Anexo 19
</t>
        </r>
      </text>
    </comment>
    <comment ref="AO51" authorId="2" shapeId="0" xr:uid="{9CDF1049-04E6-47F1-9B0F-955EFF241091}">
      <text>
        <r>
          <rPr>
            <sz val="11"/>
            <color theme="1"/>
            <rFont val="Arial"/>
            <family val="2"/>
          </rPr>
          <t xml:space="preserve">Es el indicadores asociado a la meta del ODS con el que se articulo
</t>
        </r>
      </text>
    </comment>
    <comment ref="AO52" authorId="2" shapeId="0" xr:uid="{1FA32361-3D64-4D77-A7A6-7233F2F9FBD2}">
      <text>
        <r>
          <rPr>
            <sz val="11"/>
            <color theme="1"/>
            <rFont val="Arial"/>
            <family val="2"/>
          </rPr>
          <t xml:space="preserve">Es el indicadores asociado a la meta del ODS con el que se articulo
</t>
        </r>
      </text>
    </comment>
    <comment ref="AO53" authorId="2" shapeId="0" xr:uid="{44EF19E7-A9BF-4DF6-A1CE-B9BD71C9C65E}">
      <text>
        <r>
          <rPr>
            <sz val="11"/>
            <color theme="1"/>
            <rFont val="Arial"/>
            <family val="2"/>
          </rPr>
          <t xml:space="preserve">Es el indicadores asociado a la meta del ODS con el que se articulo
</t>
        </r>
      </text>
    </comment>
    <comment ref="Y54" authorId="2" shapeId="0" xr:uid="{A9FDB3D4-70E6-4A83-A688-3C6506422160}">
      <text>
        <r>
          <rPr>
            <sz val="11"/>
            <color theme="1"/>
            <rFont val="Arial"/>
            <family val="2"/>
          </rPr>
          <t>En la matriz consolidada se encontraban estas dos cifras en la barra de formulas, asi que las separe. Validar</t>
        </r>
      </text>
    </comment>
    <comment ref="AO54" authorId="2" shapeId="0" xr:uid="{4B11B4B4-8466-47FF-836D-08BBE9EEBB70}">
      <text>
        <r>
          <rPr>
            <sz val="11"/>
            <color theme="1"/>
            <rFont val="Arial"/>
            <family val="2"/>
          </rPr>
          <t xml:space="preserve">Es el indicadores asociado a la meta del ODS con el que se articulo
</t>
        </r>
      </text>
    </comment>
    <comment ref="AO65" authorId="2" shapeId="0" xr:uid="{A053D74C-FC86-49F1-AC75-2B2A74B4BA5C}">
      <text>
        <r>
          <rPr>
            <sz val="11"/>
            <color theme="1"/>
            <rFont val="Arial"/>
            <family val="2"/>
          </rPr>
          <t xml:space="preserve">En PAI lo asocian a indicador 15 pero no un indicador especifico, este le aplica.
</t>
        </r>
      </text>
    </comment>
    <comment ref="AO66" authorId="2" shapeId="0" xr:uid="{9B767DD5-6F0E-4BB0-A241-B460B023F5B7}">
      <text>
        <r>
          <rPr>
            <sz val="11"/>
            <color theme="1"/>
            <rFont val="Arial"/>
            <family val="2"/>
          </rPr>
          <t xml:space="preserve">En PAI lo asocian a indicador 15 pero no un indicador especifico, este le aplica.
</t>
        </r>
      </text>
    </comment>
    <comment ref="A115" authorId="2" shapeId="0" xr:uid="{7FCAFE50-49B0-468D-9EDF-80A218515FD1}">
      <text>
        <r>
          <rPr>
            <sz val="11"/>
            <color theme="1"/>
            <rFont val="Arial"/>
            <family val="2"/>
          </rPr>
          <t>revisar relación actividad-indicador</t>
        </r>
      </text>
    </comment>
    <comment ref="AO122" authorId="2" shapeId="0" xr:uid="{8563AC9B-5A8A-40B4-A992-A0645CDE29AC}">
      <text>
        <r>
          <rPr>
            <sz val="11"/>
            <color theme="1"/>
            <rFont val="Arial"/>
            <family val="2"/>
          </rPr>
          <t xml:space="preserve">Lo articulan a varios indicadores ODS, se selecciona uno de ellos
</t>
        </r>
      </text>
    </comment>
    <comment ref="A126" authorId="2" shapeId="0" xr:uid="{601499B1-5ACA-4155-A347-61FC6FDDCF07}">
      <text>
        <r>
          <rPr>
            <sz val="11"/>
            <color theme="1"/>
            <rFont val="Arial"/>
            <family val="2"/>
          </rPr>
          <t>Como solo se permite un solo indicador por actividad, se duplica incorporando una letra diferenciadora y de esta manera se conservan los dos indicadores asociados.</t>
        </r>
      </text>
    </comment>
    <comment ref="A127" authorId="2" shapeId="0" xr:uid="{11397BD0-CF83-4A2C-BAAE-C95F6FDA9700}">
      <text>
        <r>
          <rPr>
            <sz val="11"/>
            <color theme="1"/>
            <rFont val="Arial"/>
            <family val="2"/>
          </rPr>
          <t>Como solo se permite un solo indicador por actividad, se duplica incorporando una letra diferenciadora y de esta manera se conservan los dos indicadores asociados.</t>
        </r>
      </text>
    </comment>
    <comment ref="A130" authorId="2" shapeId="0" xr:uid="{90C761DA-F67B-46E6-AC54-2F63A18A068A}">
      <text>
        <r>
          <rPr>
            <sz val="11"/>
            <color theme="1"/>
            <rFont val="Arial"/>
            <family val="2"/>
          </rPr>
          <t>Como solo se permite un solo indicador por actividad, se duplica incorporando una letra diferenciadora y de esta manera se conservan los dos indicadores asociados.</t>
        </r>
      </text>
    </comment>
    <comment ref="A131" authorId="2" shapeId="0" xr:uid="{D87445C3-1E89-423A-8CA9-192D34096B75}">
      <text>
        <r>
          <rPr>
            <sz val="11"/>
            <color theme="1"/>
            <rFont val="Arial"/>
            <family val="2"/>
          </rPr>
          <t>Como solo se permite un solo indicador por actividad, se duplica incorporando una letra diferenciadora y de esta manera se conservan los dos indicadores asociados.</t>
        </r>
      </text>
    </comment>
    <comment ref="AO149" authorId="2" shapeId="0" xr:uid="{C1EC6AB6-2C70-4D55-97A1-F995B060AB9B}">
      <text>
        <r>
          <rPr>
            <sz val="11"/>
            <color theme="1"/>
            <rFont val="Arial"/>
            <family val="2"/>
          </rPr>
          <t xml:space="preserve">Lo articulan con ODS 11 pero no se encontro un indicador afin al alcance de la actividad
</t>
        </r>
      </text>
    </comment>
    <comment ref="AO152" authorId="2" shapeId="0" xr:uid="{BE26B266-7C19-43B0-8BFF-869762F614DE}">
      <text>
        <r>
          <rPr>
            <sz val="11"/>
            <color theme="1"/>
            <rFont val="Arial"/>
            <family val="2"/>
          </rPr>
          <t xml:space="preserve">Asociado a metas de 2 ODS, se selecciono el más afin al alcance de del proyecto
</t>
        </r>
      </text>
    </comment>
    <comment ref="AO154" authorId="2" shapeId="0" xr:uid="{25CEEA54-3E3E-4978-9E42-B25048D674F6}">
      <text>
        <r>
          <rPr>
            <sz val="11"/>
            <color theme="1"/>
            <rFont val="Arial"/>
            <family val="2"/>
          </rPr>
          <t xml:space="preserve">Asociado a metas de 2 ODS, se selecciono el más afin al alcance de del proyecto
</t>
        </r>
      </text>
    </comment>
    <comment ref="AO156" authorId="2" shapeId="0" xr:uid="{E4CA8196-EADD-4AA5-95C7-080AE9A59C06}">
      <text>
        <r>
          <rPr>
            <sz val="11"/>
            <color theme="1"/>
            <rFont val="Arial"/>
            <family val="2"/>
          </rPr>
          <t xml:space="preserve">Asociado a metas de 2 ODS
</t>
        </r>
      </text>
    </comment>
    <comment ref="AO160" authorId="2" shapeId="0" xr:uid="{D90DBF60-BCA9-4E34-B833-CF2BD2F75FBB}">
      <text>
        <r>
          <rPr>
            <sz val="11"/>
            <color theme="1"/>
            <rFont val="Arial"/>
            <family val="2"/>
          </rPr>
          <t xml:space="preserve">Lo articulan a ODS 11, sin embargo no se encontró un indicador acorde al alcance del producto
</t>
        </r>
      </text>
    </comment>
    <comment ref="AO162" authorId="2" shapeId="0" xr:uid="{548F38AA-B252-48BD-A041-8ACF7FD6D8F2}">
      <text>
        <r>
          <rPr>
            <sz val="11"/>
            <color theme="1"/>
            <rFont val="Arial"/>
            <family val="2"/>
          </rPr>
          <t xml:space="preserve">Lo articulan a ODS 11, sin embargo no se encontró un indicador acorde al alcance del producto
</t>
        </r>
      </text>
    </comment>
    <comment ref="AO164" authorId="2" shapeId="0" xr:uid="{82689584-9009-4613-BEED-ED74D924C992}">
      <text>
        <r>
          <rPr>
            <sz val="11"/>
            <color theme="1"/>
            <rFont val="Arial"/>
            <family val="2"/>
          </rPr>
          <t xml:space="preserve">Asociado al ODS 11, se selecciono el más afin al alcance de del proyecto
</t>
        </r>
      </text>
    </comment>
    <comment ref="AO166" authorId="2" shapeId="0" xr:uid="{02B9FD4E-B800-44D9-98B8-85BC66C6A000}">
      <text>
        <r>
          <rPr>
            <sz val="11"/>
            <color theme="1"/>
            <rFont val="Arial"/>
            <family val="2"/>
          </rPr>
          <t xml:space="preserve">Asociado a metas de 2 ODS, se selecciono uno de los indicadores sin embargo se recomienda revisar la pertinencia de este de acuerdo al alcance del proyecto.
</t>
        </r>
      </text>
    </comment>
    <comment ref="AO177" authorId="2" shapeId="0" xr:uid="{37A40AA9-1E41-4027-92BC-6DD86797A722}">
      <text>
        <r>
          <rPr>
            <sz val="11"/>
            <color theme="1"/>
            <rFont val="Arial"/>
            <family val="2"/>
          </rPr>
          <t xml:space="preserve">Lo articulan con ODS 11
</t>
        </r>
      </text>
    </comment>
    <comment ref="AO179" authorId="2" shapeId="0" xr:uid="{DF7BCC88-6FBC-4B37-8AED-76EFD13ADD83}">
      <text>
        <r>
          <rPr>
            <sz val="11"/>
            <color theme="1"/>
            <rFont val="Arial"/>
            <family val="2"/>
          </rPr>
          <t xml:space="preserve">Lo articulan con ODS 11
</t>
        </r>
      </text>
    </comment>
    <comment ref="AO180" authorId="2" shapeId="0" xr:uid="{0DD1E112-86E3-4954-83C0-4F19BAE6516B}">
      <text>
        <r>
          <rPr>
            <sz val="11"/>
            <color theme="1"/>
            <rFont val="Arial"/>
            <family val="2"/>
          </rPr>
          <t xml:space="preserve">Lo articulan con ODS 11
</t>
        </r>
      </text>
    </comment>
    <comment ref="A181" authorId="2" shapeId="0" xr:uid="{12EABD7B-F95E-4F0D-9131-22F831365FDF}">
      <text>
        <r>
          <rPr>
            <sz val="11"/>
            <color theme="1"/>
            <rFont val="Arial"/>
            <family val="2"/>
          </rPr>
          <t>Se duplica actividad para conservar los dos indicadores asociados</t>
        </r>
      </text>
    </comment>
    <comment ref="AO181" authorId="2" shapeId="0" xr:uid="{28507E1A-2C9C-4067-A3A6-5390EBA75C0D}">
      <text>
        <r>
          <rPr>
            <sz val="11"/>
            <color theme="1"/>
            <rFont val="Arial"/>
            <family val="2"/>
          </rPr>
          <t xml:space="preserve">Lo articulan con ODS 11
</t>
        </r>
      </text>
    </comment>
    <comment ref="AO187" authorId="2" shapeId="0" xr:uid="{4102B5D0-47E0-42D0-91BE-B14D3CEF1DFC}">
      <text>
        <r>
          <rPr>
            <sz val="11"/>
            <color theme="1"/>
            <rFont val="Arial"/>
            <family val="2"/>
          </rPr>
          <t xml:space="preserve">Lo articularon con ODS 15
</t>
        </r>
      </text>
    </comment>
    <comment ref="AO192" authorId="2" shapeId="0" xr:uid="{7EA41399-2859-45F1-98FE-9C4136B0F28F}">
      <text>
        <r>
          <rPr>
            <sz val="11"/>
            <color theme="1"/>
            <rFont val="Arial"/>
            <family val="2"/>
          </rPr>
          <t xml:space="preserve">Lo articulan con ODS15
</t>
        </r>
      </text>
    </comment>
    <comment ref="AO193" authorId="2" shapeId="0" xr:uid="{9A16FEA3-D3C0-4725-88BD-4628BFA527C4}">
      <text>
        <r>
          <rPr>
            <sz val="11"/>
            <color theme="1"/>
            <rFont val="Arial"/>
            <family val="2"/>
          </rPr>
          <t xml:space="preserve">Lo articulan con ODS15
</t>
        </r>
      </text>
    </comment>
    <comment ref="AO194" authorId="2" shapeId="0" xr:uid="{0F65DFE9-8C7D-471E-BB3E-BAD65CDC4ED5}">
      <text>
        <r>
          <rPr>
            <sz val="11"/>
            <color theme="1"/>
            <rFont val="Arial"/>
            <family val="2"/>
          </rPr>
          <t xml:space="preserve">Lo articulan con ODS15
</t>
        </r>
      </text>
    </comment>
    <comment ref="AO195" authorId="2" shapeId="0" xr:uid="{850A1DF3-2CF7-4F1C-BAF1-B3E40A63C9AD}">
      <text>
        <r>
          <rPr>
            <sz val="11"/>
            <color theme="1"/>
            <rFont val="Arial"/>
            <family val="2"/>
          </rPr>
          <t xml:space="preserve">Lo articulan con ODS13
</t>
        </r>
      </text>
    </comment>
    <comment ref="A196" authorId="2" shapeId="0" xr:uid="{4A6248CD-E3C3-47D5-816A-455D8B32C436}">
      <text>
        <r>
          <rPr>
            <sz val="11"/>
            <color theme="1"/>
            <rFont val="Arial"/>
            <family val="2"/>
          </rPr>
          <t xml:space="preserve">la acción es más la formalización que el instrumento en si </t>
        </r>
      </text>
    </comment>
    <comment ref="AO196" authorId="2" shapeId="0" xr:uid="{81A6E7CA-390F-4620-A5D5-40FFA70805B3}">
      <text>
        <r>
          <rPr>
            <sz val="11"/>
            <color theme="1"/>
            <rFont val="Arial"/>
            <family val="2"/>
          </rPr>
          <t xml:space="preserve">Lo articulan con ODS13
</t>
        </r>
      </text>
    </comment>
    <comment ref="AO197" authorId="2" shapeId="0" xr:uid="{15D3DD6C-DD77-411B-9926-F4502C0B0DA6}">
      <text>
        <r>
          <rPr>
            <sz val="11"/>
            <color theme="1"/>
            <rFont val="Arial"/>
            <family val="2"/>
          </rPr>
          <t xml:space="preserve">Lo articulan con ODS15
</t>
        </r>
      </text>
    </comment>
    <comment ref="A198" authorId="2" shapeId="0" xr:uid="{C44A1355-1178-44BB-B29A-36821BB80360}">
      <text>
        <r>
          <rPr>
            <sz val="11"/>
            <color theme="1"/>
            <rFont val="Arial"/>
            <family val="2"/>
          </rPr>
          <t>relación actividad-indicador</t>
        </r>
      </text>
    </comment>
    <comment ref="A199" authorId="2" shapeId="0" xr:uid="{21E58817-8D09-4BE8-991F-2C2E0BBF988C}">
      <text>
        <r>
          <rPr>
            <sz val="11"/>
            <color theme="1"/>
            <rFont val="Arial"/>
            <family val="2"/>
          </rPr>
          <t>Actividad triplicada y sin relación con el indicador…Esta actividad debería reformularse y asociarse directamente al CAVF</t>
        </r>
      </text>
    </comment>
    <comment ref="AO201" authorId="2" shapeId="0" xr:uid="{123642DE-9697-47E4-B2D5-87E411BDE25B}">
      <text>
        <r>
          <rPr>
            <sz val="11"/>
            <color theme="1"/>
            <rFont val="Arial"/>
            <family val="2"/>
          </rPr>
          <t xml:space="preserve">Lo articulan con ODS15
</t>
        </r>
      </text>
    </comment>
    <comment ref="AO220" authorId="2" shapeId="0" xr:uid="{51D7685C-32FE-4C15-993D-5B3AE799E6F1}">
      <text>
        <r>
          <rPr>
            <sz val="11"/>
            <color theme="1"/>
            <rFont val="Arial"/>
            <family val="2"/>
          </rPr>
          <t xml:space="preserve">Este proyecto lo articulan con ODS 8 y 3. Solo se encontro un indicador afin correspondiente al ODS 8. Revisar
</t>
        </r>
      </text>
    </comment>
    <comment ref="Y221" authorId="1" shapeId="0" xr:uid="{98D9C959-8D11-4981-9255-5C8BE21B1846}">
      <text>
        <r>
          <rPr>
            <b/>
            <sz val="9"/>
            <color indexed="81"/>
            <rFont val="Tahoma"/>
            <family val="2"/>
          </rPr>
          <t>Usuario:</t>
        </r>
        <r>
          <rPr>
            <sz val="9"/>
            <color indexed="81"/>
            <rFont val="Tahoma"/>
            <family val="2"/>
          </rPr>
          <t xml:space="preserve">
Revisar frente a meta</t>
        </r>
      </text>
    </comment>
    <comment ref="AO221" authorId="2" shapeId="0" xr:uid="{DB1F28CC-6541-4167-B64A-2FC74714891F}">
      <text>
        <r>
          <rPr>
            <sz val="11"/>
            <color theme="1"/>
            <rFont val="Arial"/>
            <family val="2"/>
          </rPr>
          <t xml:space="preserve">Este proyecto lo articulan con ODS 8 y 3. Solo se encontro un indicador afin correspondiente al ODS 8. Revisar
</t>
        </r>
      </text>
    </comment>
    <comment ref="AO228" authorId="2" shapeId="0" xr:uid="{91CAAD36-E087-443A-A371-0C55BB52D3E0}">
      <text>
        <r>
          <rPr>
            <sz val="11"/>
            <color theme="1"/>
            <rFont val="Arial"/>
            <family val="2"/>
          </rPr>
          <t xml:space="preserve">Lo articularon con ODS 8 y 3
</t>
        </r>
      </text>
    </comment>
    <comment ref="AO231" authorId="2" shapeId="0" xr:uid="{42F3B78A-3A49-4EF7-A40A-BB511802839A}">
      <text>
        <r>
          <rPr>
            <sz val="11"/>
            <color theme="1"/>
            <rFont val="Arial"/>
            <family val="2"/>
          </rPr>
          <t xml:space="preserve">Lo articulan con ODS 9
</t>
        </r>
      </text>
    </comment>
    <comment ref="AO232" authorId="2" shapeId="0" xr:uid="{3AFC72FA-FA38-48F9-A75C-4F360299B48B}">
      <text>
        <r>
          <rPr>
            <sz val="11"/>
            <color theme="1"/>
            <rFont val="Arial"/>
            <family val="2"/>
          </rPr>
          <t xml:space="preserve">Lo articulan con ODS 9
</t>
        </r>
      </text>
    </comment>
    <comment ref="AO233" authorId="2" shapeId="0" xr:uid="{712AA2A3-8DB6-4ACD-9682-3A9DAC5EB289}">
      <text>
        <r>
          <rPr>
            <sz val="11"/>
            <color theme="1"/>
            <rFont val="Arial"/>
            <family val="2"/>
          </rPr>
          <t xml:space="preserve">Lo articulan con ODS 9
</t>
        </r>
      </text>
    </comment>
    <comment ref="AO235" authorId="2" shapeId="0" xr:uid="{F0AD6994-7063-402E-AF3A-AC64B77B3822}">
      <text>
        <r>
          <rPr>
            <sz val="11"/>
            <color theme="1"/>
            <rFont val="Arial"/>
            <family val="2"/>
          </rPr>
          <t xml:space="preserve">Lo articulan con ODS 9
</t>
        </r>
      </text>
    </comment>
    <comment ref="AO238" authorId="2" shapeId="0" xr:uid="{BF1ECF93-449A-4C6F-BD41-7AC6F547EADF}">
      <text>
        <r>
          <rPr>
            <sz val="11"/>
            <color theme="1"/>
            <rFont val="Arial"/>
            <family val="2"/>
          </rPr>
          <t xml:space="preserve">Lo articulan con ODS 9
</t>
        </r>
      </text>
    </comment>
    <comment ref="AO241" authorId="2" shapeId="0" xr:uid="{4F067718-6E88-473B-BF69-575F312AB9D2}">
      <text>
        <r>
          <rPr>
            <sz val="11"/>
            <color theme="1"/>
            <rFont val="Arial"/>
            <family val="2"/>
          </rPr>
          <t xml:space="preserve">Lo articulan con ODS 9
</t>
        </r>
      </text>
    </comment>
    <comment ref="AO244" authorId="2" shapeId="0" xr:uid="{29B53191-46FB-47AB-B2FD-754541A18CAA}">
      <text>
        <r>
          <rPr>
            <sz val="11"/>
            <color theme="1"/>
            <rFont val="Arial"/>
            <family val="2"/>
          </rPr>
          <t xml:space="preserve">Lo articulan con ODS 9
</t>
        </r>
      </text>
    </comment>
    <comment ref="AO247" authorId="2" shapeId="0" xr:uid="{0F15A436-09BB-4AC2-B87C-D17E67BB8B7E}">
      <text>
        <r>
          <rPr>
            <sz val="11"/>
            <color theme="1"/>
            <rFont val="Arial"/>
            <family val="2"/>
          </rPr>
          <t xml:space="preserve">Lo articulan con ODS 6,7, 11 y 12
</t>
        </r>
      </text>
    </comment>
    <comment ref="AO248" authorId="2" shapeId="0" xr:uid="{B255890C-5114-43EC-ABC6-BB542767F82B}">
      <text>
        <r>
          <rPr>
            <sz val="11"/>
            <color theme="1"/>
            <rFont val="Arial"/>
            <family val="2"/>
          </rPr>
          <t xml:space="preserve">Lo articulan con ODS 6,7, 11 y 12
</t>
        </r>
      </text>
    </comment>
    <comment ref="AO249" authorId="2" shapeId="0" xr:uid="{C86C3C6E-45CC-4D2A-B082-76E579FA57A2}">
      <text>
        <r>
          <rPr>
            <sz val="11"/>
            <color theme="1"/>
            <rFont val="Arial"/>
            <family val="2"/>
          </rPr>
          <t xml:space="preserve">Lo articulan con ODS 6,7, 11 y 12
</t>
        </r>
      </text>
    </comment>
    <comment ref="AO252" authorId="2" shapeId="0" xr:uid="{9987B246-4C94-4635-B524-22278D655C11}">
      <text>
        <r>
          <rPr>
            <sz val="11"/>
            <color theme="1"/>
            <rFont val="Arial"/>
            <family val="2"/>
          </rPr>
          <t xml:space="preserve">Lo articulan con ODS 6,9, 11,12, 14 y 15
</t>
        </r>
      </text>
    </comment>
    <comment ref="AO253" authorId="2" shapeId="0" xr:uid="{60B68625-FAD0-4D45-B1AA-C16583DDB22D}">
      <text>
        <r>
          <rPr>
            <sz val="11"/>
            <color theme="1"/>
            <rFont val="Arial"/>
            <family val="2"/>
          </rPr>
          <t xml:space="preserve">Lo articulan con ODS 6,9, 11,12, 14 y 15
</t>
        </r>
      </text>
    </comment>
    <comment ref="AO254" authorId="2" shapeId="0" xr:uid="{890069BF-9845-49DE-BEB7-CED4FA3577B4}">
      <text>
        <r>
          <rPr>
            <sz val="11"/>
            <color theme="1"/>
            <rFont val="Arial"/>
            <family val="2"/>
          </rPr>
          <t xml:space="preserve">Lo articulan con ODS 6,9, 11,12, 14 y 15
</t>
        </r>
      </text>
    </comment>
    <comment ref="AO256" authorId="2" shapeId="0" xr:uid="{6D129139-C590-496D-B62B-E2686C990D72}">
      <text>
        <r>
          <rPr>
            <sz val="11"/>
            <color theme="1"/>
            <rFont val="Arial"/>
            <family val="2"/>
          </rPr>
          <t xml:space="preserve">Lo articulan con ODS 6,9, 11,12, 14 y 15
</t>
        </r>
      </text>
    </comment>
    <comment ref="AO258" authorId="2" shapeId="0" xr:uid="{727FB3E8-0518-4FB1-9C19-156EA2F9EBEF}">
      <text>
        <r>
          <rPr>
            <sz val="11"/>
            <color theme="1"/>
            <rFont val="Arial"/>
            <family val="2"/>
          </rPr>
          <t xml:space="preserve">Lo articulan con ODS 6,9, 11,12, 14 y 15
</t>
        </r>
      </text>
    </comment>
    <comment ref="AO259" authorId="2" shapeId="0" xr:uid="{7B6177B8-0D66-47C4-A5CD-FFE917F3ED95}">
      <text>
        <r>
          <rPr>
            <sz val="11"/>
            <color theme="1"/>
            <rFont val="Arial"/>
            <family val="2"/>
          </rPr>
          <t xml:space="preserve">Lo articulan con ODS 6,9, 11,12, 14 y 15
</t>
        </r>
      </text>
    </comment>
    <comment ref="AO262" authorId="2" shapeId="0" xr:uid="{E4FED082-A11D-444E-9BD0-4D54BEFCB871}">
      <text>
        <r>
          <rPr>
            <sz val="11"/>
            <color theme="1"/>
            <rFont val="Arial"/>
            <family val="2"/>
          </rPr>
          <t xml:space="preserve">Lo articulan con ODS 3, 8,9, 12, y 16
</t>
        </r>
      </text>
    </comment>
    <comment ref="AO267" authorId="2" shapeId="0" xr:uid="{3320B5F1-2415-4EFF-8D4E-7440D874C9EC}">
      <text>
        <r>
          <rPr>
            <sz val="11"/>
            <color theme="1"/>
            <rFont val="Arial"/>
            <family val="2"/>
          </rPr>
          <t xml:space="preserve">Lo articulan con ODS 3, 8,9, 12, y 16
</t>
        </r>
      </text>
    </comment>
    <comment ref="Y269" authorId="2" shapeId="0" xr:uid="{81EA13F9-7214-4994-951E-6638286E7924}">
      <text>
        <r>
          <rPr>
            <sz val="11"/>
            <color theme="1"/>
            <rFont val="Arial"/>
            <family val="2"/>
          </rPr>
          <t>Revisar, no hay meta definida para este año</t>
        </r>
      </text>
    </comment>
    <comment ref="AO269" authorId="2" shapeId="0" xr:uid="{1CF9EA02-D37A-4A33-A259-2CC1721A7804}">
      <text>
        <r>
          <rPr>
            <sz val="11"/>
            <color theme="1"/>
            <rFont val="Arial"/>
            <family val="2"/>
          </rPr>
          <t xml:space="preserve">Lo articulan con ODS 3, 8,9, 12, y 16
</t>
        </r>
      </text>
    </comment>
    <comment ref="AO272" authorId="2" shapeId="0" xr:uid="{8C45D632-215C-413A-B95B-A58145175ECB}">
      <text>
        <r>
          <rPr>
            <sz val="11"/>
            <color theme="1"/>
            <rFont val="Arial"/>
            <family val="2"/>
          </rPr>
          <t xml:space="preserve">Articulan con ODS 16
</t>
        </r>
      </text>
    </comment>
    <comment ref="AO273" authorId="2" shapeId="0" xr:uid="{A3655E9D-92AC-49E4-B0BB-88CEE7A46CBB}">
      <text>
        <r>
          <rPr>
            <sz val="11"/>
            <color theme="1"/>
            <rFont val="Arial"/>
            <family val="2"/>
          </rPr>
          <t xml:space="preserve">Articulan con ODS 16
</t>
        </r>
      </text>
    </comment>
    <comment ref="AO274" authorId="2" shapeId="0" xr:uid="{DE243391-006A-4748-BEE3-835ABFF4F0F5}">
      <text>
        <r>
          <rPr>
            <sz val="11"/>
            <color theme="1"/>
            <rFont val="Arial"/>
            <family val="2"/>
          </rPr>
          <t xml:space="preserve">Articulan con ODS 16
</t>
        </r>
      </text>
    </comment>
    <comment ref="AO277" authorId="2" shapeId="0" xr:uid="{8C82E9F7-5B2A-4070-A2F6-7E5DB826D92C}">
      <text>
        <r>
          <rPr>
            <sz val="11"/>
            <color theme="1"/>
            <rFont val="Arial"/>
            <family val="2"/>
          </rPr>
          <t xml:space="preserve">Articulan con ODS 16
</t>
        </r>
      </text>
    </comment>
    <comment ref="AO280" authorId="2" shapeId="0" xr:uid="{19EBE1C9-6D6E-4286-AA96-452608846CC7}">
      <text>
        <r>
          <rPr>
            <sz val="11"/>
            <color theme="1"/>
            <rFont val="Arial"/>
            <family val="2"/>
          </rPr>
          <t xml:space="preserve">Articulan con ODS 16
</t>
        </r>
      </text>
    </comment>
    <comment ref="AO281" authorId="2" shapeId="0" xr:uid="{0638B79B-07F1-4523-A70F-81E30854ABA6}">
      <text>
        <r>
          <rPr>
            <sz val="11"/>
            <color theme="1"/>
            <rFont val="Arial"/>
            <family val="2"/>
          </rPr>
          <t xml:space="preserve">Articulan con ODS 16
</t>
        </r>
      </text>
    </comment>
    <comment ref="AO283" authorId="2" shapeId="0" xr:uid="{C8C3724B-BD11-4B63-B712-5AEAD0C9C2C9}">
      <text>
        <r>
          <rPr>
            <sz val="11"/>
            <color theme="1"/>
            <rFont val="Arial"/>
            <family val="2"/>
          </rPr>
          <t xml:space="preserve">Articulan con ODS 16
</t>
        </r>
      </text>
    </comment>
    <comment ref="AO285" authorId="2" shapeId="0" xr:uid="{98DBCF83-FD09-4F0C-B050-7F541DBB222B}">
      <text>
        <r>
          <rPr>
            <sz val="11"/>
            <color theme="1"/>
            <rFont val="Arial"/>
            <family val="2"/>
          </rPr>
          <t xml:space="preserve">Articulan con ODS 16
</t>
        </r>
      </text>
    </comment>
    <comment ref="AO288" authorId="2" shapeId="0" xr:uid="{5CAA0BBF-7192-4167-B478-DBFF13170B59}">
      <text>
        <r>
          <rPr>
            <sz val="11"/>
            <color theme="1"/>
            <rFont val="Arial"/>
            <family val="2"/>
          </rPr>
          <t xml:space="preserve">articulado con ODS 7 y 11
</t>
        </r>
      </text>
    </comment>
    <comment ref="AO290" authorId="2" shapeId="0" xr:uid="{01AAAC81-4C19-419D-B62E-78D769BD953A}">
      <text>
        <r>
          <rPr>
            <sz val="11"/>
            <color theme="1"/>
            <rFont val="Arial"/>
            <family val="2"/>
          </rPr>
          <t xml:space="preserve">articulado con ODS 3,8, 9 y 16
</t>
        </r>
      </text>
    </comment>
    <comment ref="AO291" authorId="2" shapeId="0" xr:uid="{8CD88820-7359-49B5-B574-19EED7EF1585}">
      <text>
        <r>
          <rPr>
            <sz val="11"/>
            <color theme="1"/>
            <rFont val="Arial"/>
            <family val="2"/>
          </rPr>
          <t xml:space="preserve">articulado con ODS 3,8, 9 y 16
</t>
        </r>
      </text>
    </comment>
    <comment ref="AO292" authorId="2" shapeId="0" xr:uid="{451FB6B4-61A4-43E0-A68A-9210257C99D9}">
      <text>
        <r>
          <rPr>
            <sz val="11"/>
            <color theme="1"/>
            <rFont val="Arial"/>
            <family val="2"/>
          </rPr>
          <t xml:space="preserve">articulado con ODS 3,8, 9 y 16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tc={B5E11FDD-249A-46D6-9EB8-032219DE3320}</author>
    <author/>
  </authors>
  <commentList>
    <comment ref="AO5" authorId="0" shapeId="0" xr:uid="{AF6FBB2C-BE39-47FC-92BE-E0045A621F98}">
      <text>
        <r>
          <rPr>
            <b/>
            <sz val="9"/>
            <color indexed="81"/>
            <rFont val="Tahoma"/>
            <family val="2"/>
          </rPr>
          <t>Usuario:</t>
        </r>
        <r>
          <rPr>
            <sz val="9"/>
            <color indexed="81"/>
            <rFont val="Tahoma"/>
            <family val="2"/>
          </rPr>
          <t xml:space="preserve">
El indicador seleccionado es coherente con la actividad. Esta articulación fue aprobada por la instancia correspondiente?</t>
        </r>
      </text>
    </comment>
    <comment ref="J6" authorId="1" shapeId="0" xr:uid="{B5E11FDD-249A-46D6-9EB8-032219DE332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diligenciamiento de la información correspondiente a la relación de evidencias que soportan la ejecución de cada una de las actividades, ubicada en las columnas K a la R del Anexo 1, es opcional para el reporte de la vigencia 2021.</t>
        </r>
      </text>
    </comment>
    <comment ref="K6" authorId="0" shapeId="0" xr:uid="{C78F0284-66B8-4D06-92E1-55A3485771EE}">
      <text>
        <r>
          <rPr>
            <b/>
            <sz val="9"/>
            <color indexed="81"/>
            <rFont val="Tahoma"/>
            <family val="2"/>
          </rPr>
          <t>Usuario:</t>
        </r>
        <r>
          <rPr>
            <sz val="9"/>
            <color indexed="81"/>
            <rFont val="Tahoma"/>
            <family val="2"/>
          </rPr>
          <t xml:space="preserve">
Fecha en la cual se hace el registro de la evidencia</t>
        </r>
      </text>
    </comment>
    <comment ref="L6" authorId="0" shapeId="0" xr:uid="{EE2F96F8-9C44-4292-92F6-BD4AB583E6C1}">
      <text>
        <r>
          <rPr>
            <b/>
            <sz val="9"/>
            <color indexed="81"/>
            <rFont val="Tahoma"/>
            <family val="2"/>
          </rPr>
          <t>Usuario:</t>
        </r>
        <r>
          <rPr>
            <sz val="9"/>
            <color indexed="81"/>
            <rFont val="Tahoma"/>
            <family val="2"/>
          </rPr>
          <t xml:space="preserve">
Seleccionar si es contrato o funcionamiento </t>
        </r>
      </text>
    </comment>
    <comment ref="M6" authorId="0" shapeId="0" xr:uid="{95AA5F7F-FF44-4DF2-BA89-FE9FC1619E1C}">
      <text>
        <r>
          <rPr>
            <b/>
            <sz val="9"/>
            <color indexed="81"/>
            <rFont val="Tahoma"/>
            <family val="2"/>
          </rPr>
          <t>Usuario:</t>
        </r>
        <r>
          <rPr>
            <sz val="9"/>
            <color indexed="81"/>
            <rFont val="Tahoma"/>
            <family val="2"/>
          </rPr>
          <t xml:space="preserve">
Si en tipo de evidencia se selecciona funcionamiento, se debe  escribir como se realizó la actividad</t>
        </r>
      </text>
    </comment>
    <comment ref="N6" authorId="0" shapeId="0" xr:uid="{115BC6F7-6DA6-424D-ADF9-36AA49803AD7}">
      <text>
        <r>
          <rPr>
            <b/>
            <sz val="9"/>
            <color indexed="81"/>
            <rFont val="Tahoma"/>
            <family val="2"/>
          </rPr>
          <t>Usuario:</t>
        </r>
        <r>
          <rPr>
            <sz val="9"/>
            <color indexed="81"/>
            <rFont val="Tahoma"/>
            <family val="2"/>
          </rPr>
          <t xml:space="preserve">
Solo si en tipo de evidencia  selecciona la opción contrato, debe indicar el estado en que se encuentra de acuerdo a la lista desplegable. </t>
        </r>
      </text>
    </comment>
    <comment ref="O6" authorId="0" shapeId="0" xr:uid="{291C290C-1EDC-4F3F-BAEB-E2F38F8925F1}">
      <text>
        <r>
          <rPr>
            <b/>
            <sz val="9"/>
            <color indexed="81"/>
            <rFont val="Tahoma"/>
            <family val="2"/>
          </rPr>
          <t>Usuario:</t>
        </r>
        <r>
          <rPr>
            <sz val="9"/>
            <color indexed="81"/>
            <rFont val="Tahoma"/>
            <family val="2"/>
          </rPr>
          <t xml:space="preserve">
Solo si en tipo de evidencia  selecciona la opción contrato, ingrese la información del número de contrato. Si son varios, separelos con una coma.</t>
        </r>
      </text>
    </comment>
    <comment ref="P6" authorId="0" shapeId="0" xr:uid="{23969541-140D-43D8-A428-52AA35A9EF6B}">
      <text>
        <r>
          <rPr>
            <b/>
            <sz val="9"/>
            <color indexed="81"/>
            <rFont val="Tahoma"/>
            <family val="2"/>
          </rPr>
          <t>Usuario:</t>
        </r>
        <r>
          <rPr>
            <sz val="9"/>
            <color indexed="81"/>
            <rFont val="Tahoma"/>
            <family val="2"/>
          </rPr>
          <t xml:space="preserve">
• Es obligatorio asociar valor si se celebro un contrato, en caso contrario, es opcional el indicar o no, el valor que va a gastar en la actividad</t>
        </r>
      </text>
    </comment>
    <comment ref="Q6" authorId="0" shapeId="0" xr:uid="{8F0AEFE2-26D5-4A9B-8C8C-CF3808FC2C3E}">
      <text>
        <r>
          <rPr>
            <b/>
            <sz val="9"/>
            <color indexed="81"/>
            <rFont val="Tahoma"/>
            <family val="2"/>
          </rPr>
          <t>Usuario:</t>
        </r>
        <r>
          <rPr>
            <sz val="9"/>
            <color indexed="81"/>
            <rFont val="Tahoma"/>
            <family val="2"/>
          </rPr>
          <t xml:space="preserve">
Indique el valor pagado por la actividad a la fecha del reporte.</t>
        </r>
      </text>
    </comment>
    <comment ref="R6" authorId="0" shapeId="0" xr:uid="{E81C3F5C-C583-47A1-9C54-D78049A24B96}">
      <text>
        <r>
          <rPr>
            <b/>
            <sz val="9"/>
            <color indexed="81"/>
            <rFont val="Tahoma"/>
            <family val="2"/>
          </rPr>
          <t>Usuario:</t>
        </r>
        <r>
          <rPr>
            <sz val="9"/>
            <color indexed="81"/>
            <rFont val="Tahoma"/>
            <family val="2"/>
          </rPr>
          <t xml:space="preserve">
Indique la fecha en la cual se realizó el pago. </t>
        </r>
      </text>
    </comment>
    <comment ref="V6" authorId="0" shapeId="0" xr:uid="{BEF2455E-5C62-4E34-A6EC-3A9E1EC0D8F6}">
      <text>
        <r>
          <rPr>
            <b/>
            <sz val="9"/>
            <color indexed="81"/>
            <rFont val="Tahoma"/>
            <family val="2"/>
          </rPr>
          <t>Usuario:</t>
        </r>
        <r>
          <rPr>
            <sz val="9"/>
            <color indexed="81"/>
            <rFont val="Tahoma"/>
            <family val="2"/>
          </rPr>
          <t xml:space="preserve">
Para el cálculo de avance de las líneas, programas y proyectos se debe tener en cuenta el valor de ponderación global  13</t>
        </r>
      </text>
    </comment>
    <comment ref="W6" authorId="0" shapeId="0" xr:uid="{4C18AF68-06C6-49B8-9692-28A3221DF1F9}">
      <text>
        <r>
          <rPr>
            <b/>
            <sz val="9"/>
            <color indexed="81"/>
            <rFont val="Tahoma"/>
            <family val="2"/>
          </rPr>
          <t>Usuario:</t>
        </r>
        <r>
          <rPr>
            <sz val="9"/>
            <color indexed="81"/>
            <rFont val="Tahoma"/>
            <family val="2"/>
          </rPr>
          <t xml:space="preserve">
Ponderación definida para todo el periodo administrativo (2020-2023)</t>
        </r>
      </text>
    </comment>
    <comment ref="X6" authorId="0" shapeId="0" xr:uid="{4DF4B302-CE9F-463B-BF8F-276D67BE477C}">
      <text>
        <r>
          <rPr>
            <b/>
            <sz val="9"/>
            <color indexed="81"/>
            <rFont val="Tahoma"/>
            <family val="2"/>
          </rPr>
          <t>Usuario:</t>
        </r>
        <r>
          <rPr>
            <sz val="9"/>
            <color indexed="81"/>
            <rFont val="Tahoma"/>
            <family val="2"/>
          </rPr>
          <t xml:space="preserve">
Indique el valor de las ponderaciones o pesos definidos para cada uno de los componente del PAI en la vigencia objeto de reporte. Si hay actividades que no tienen meta asociada para el periodo el valor de distribución de las ponderaciones debe distribuirse de forma proporcional entre las actividades que si tienen meta para la vigencia.</t>
        </r>
      </text>
    </comment>
    <comment ref="AI6" authorId="0" shapeId="0" xr:uid="{CC572657-1BD1-471A-9C1B-1BD3262E14BD}">
      <text>
        <r>
          <rPr>
            <b/>
            <sz val="9"/>
            <color indexed="81"/>
            <rFont val="Tahoma"/>
            <family val="2"/>
          </rPr>
          <t>Usuario:</t>
        </r>
        <r>
          <rPr>
            <sz val="9"/>
            <color indexed="81"/>
            <rFont val="Tahoma"/>
            <family val="2"/>
          </rPr>
          <t xml:space="preserve">
Se hace validación de información con la matriz de reporte del sem I del 2021, atendiendo la aclaración realizada por la CRA. Se deja en letra roja los valores que cambiaron.</t>
        </r>
      </text>
    </comment>
    <comment ref="AK6" authorId="0" shapeId="0" xr:uid="{1C6EB493-940A-4BD4-B00B-605E8039773F}">
      <text>
        <r>
          <rPr>
            <b/>
            <sz val="9"/>
            <color indexed="81"/>
            <rFont val="Tahoma"/>
            <family val="2"/>
          </rPr>
          <t>Usuario:</t>
        </r>
        <r>
          <rPr>
            <sz val="9"/>
            <color indexed="81"/>
            <rFont val="Tahoma"/>
            <family val="2"/>
          </rPr>
          <t xml:space="preserve">
Se modifican automaticamente valores con los cambios que se incorporan en la columna N° 22</t>
        </r>
      </text>
    </comment>
    <comment ref="AF8" authorId="0" shapeId="0" xr:uid="{3C1F5953-7B5C-4A0F-8792-F79D0D20421A}">
      <text>
        <r>
          <rPr>
            <b/>
            <sz val="9"/>
            <color indexed="81"/>
            <rFont val="Tahoma"/>
            <family val="2"/>
          </rPr>
          <t>Usuario:</t>
        </r>
        <r>
          <rPr>
            <sz val="9"/>
            <color indexed="81"/>
            <rFont val="Tahoma"/>
            <family val="2"/>
          </rPr>
          <t xml:space="preserve">
revisar, no coincide con dato de informe 2020 debido a diferencia en proyecto 1.2.2.</t>
        </r>
      </text>
    </comment>
    <comment ref="AO11" authorId="2" shapeId="0" xr:uid="{6DD927FD-876D-4954-A1A7-CDC6E93E60E4}">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13" authorId="2" shapeId="0" xr:uid="{D0F92605-74F4-4DB3-8BB7-A41CDB8ACE15}">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16" authorId="2" shapeId="0" xr:uid="{682BD401-7DBC-417B-87E8-E8F74B23F443}">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Y19" authorId="0" shapeId="0" xr:uid="{7E05659A-18C1-4C2E-9C34-EE7C35C4B4DE}">
      <text>
        <r>
          <rPr>
            <b/>
            <sz val="9"/>
            <color indexed="81"/>
            <rFont val="Tahoma"/>
            <family val="2"/>
          </rPr>
          <t>Usuario:</t>
        </r>
        <r>
          <rPr>
            <sz val="9"/>
            <color indexed="81"/>
            <rFont val="Tahoma"/>
            <family val="2"/>
          </rPr>
          <t xml:space="preserve">
Revisar, no hay meta para este año</t>
        </r>
      </text>
    </comment>
    <comment ref="AO19" authorId="2" shapeId="0" xr:uid="{F43AF511-EC15-4EF9-8E61-D75CD4A4EDF6}">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Nivel de estrés hídrico: extracción de agua dulce como proporción de los recursos de agua dulce disponibles
</t>
        </r>
      </text>
    </comment>
    <comment ref="AO20" authorId="2" shapeId="0" xr:uid="{1753ED9A-D483-4028-9A4F-C0E72C19C9F0}">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21" authorId="2" shapeId="0" xr:uid="{4133EEC7-C4E0-4A36-A63C-7FDF518FB08C}">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AO22" authorId="2" shapeId="0" xr:uid="{54BC47A1-33E7-45A1-9316-DFB031015DB8}">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Grado de aplicación de la ordenación integrada de los recursos hídricos (0-100)
</t>
        </r>
      </text>
    </comment>
    <comment ref="J27" authorId="0" shapeId="0" xr:uid="{3A389D1E-4AE0-40E3-8BFD-A1047D1583C5}">
      <text>
        <r>
          <rPr>
            <b/>
            <sz val="9"/>
            <color indexed="81"/>
            <rFont val="Tahoma"/>
            <family val="2"/>
          </rPr>
          <t>Usuario:</t>
        </r>
        <r>
          <rPr>
            <sz val="9"/>
            <color indexed="81"/>
            <rFont val="Tahoma"/>
            <family val="2"/>
          </rPr>
          <t xml:space="preserve">
Revisar respecto al avance.</t>
        </r>
      </text>
    </comment>
    <comment ref="AO31" authorId="2" shapeId="0" xr:uid="{229686F7-3D59-46FC-B479-9D23A19319E7}">
      <text>
        <r>
          <rPr>
            <sz val="11"/>
            <color theme="1"/>
            <rFont val="Arial"/>
            <family val="2"/>
          </rPr>
          <t xml:space="preserve">En Anexo 19 del PAI tenian asociado el indicador ODS: Porcentaje del cambio en la extensión de los ecosistemas relacionados con el agua a lo largo del tiempo. No obstante creo que el aporte se hace más hacia el que aqui se indica
</t>
        </r>
      </text>
    </comment>
    <comment ref="E34" authorId="0" shapeId="0" xr:uid="{9750F26F-400B-4B00-B67E-0CF8BC21DDFF}">
      <text>
        <r>
          <rPr>
            <b/>
            <sz val="9"/>
            <color indexed="81"/>
            <rFont val="Tahoma"/>
            <family val="2"/>
          </rPr>
          <t>Usuario:</t>
        </r>
        <r>
          <rPr>
            <sz val="9"/>
            <color indexed="81"/>
            <rFont val="Tahoma"/>
            <family val="2"/>
          </rPr>
          <t xml:space="preserve">
25 PUEAA/152 Usuarios</t>
        </r>
      </text>
    </comment>
    <comment ref="J35" authorId="0" shapeId="0" xr:uid="{EC135C96-8681-4103-BEAD-85CDE543656B}">
      <text>
        <r>
          <rPr>
            <b/>
            <sz val="9"/>
            <color indexed="81"/>
            <rFont val="Tahoma"/>
            <family val="2"/>
          </rPr>
          <t>Usuario:</t>
        </r>
        <r>
          <rPr>
            <sz val="9"/>
            <color indexed="81"/>
            <rFont val="Tahoma"/>
            <family val="2"/>
          </rPr>
          <t xml:space="preserve">
El seguimiento que se realiza es a la concesión o al PUEAA?. Cuantos con PUEAA?</t>
        </r>
      </text>
    </comment>
    <comment ref="AO36" authorId="2" shapeId="0" xr:uid="{F4272B9E-26C5-4742-BE6B-0E50F4E0A47C}">
      <text>
        <r>
          <rPr>
            <sz val="11"/>
            <color theme="1"/>
            <rFont val="Arial"/>
            <family val="2"/>
          </rPr>
          <t xml:space="preserve">Esta actividad no la tienen articulada a ningún ODS pero la meta podría estar asociada al indicador 144
</t>
        </r>
      </text>
    </comment>
    <comment ref="AF37" authorId="0" shapeId="0" xr:uid="{1EF36305-99C8-46E5-8E45-DCEB3A0367E5}">
      <text>
        <r>
          <rPr>
            <b/>
            <sz val="9"/>
            <color indexed="81"/>
            <rFont val="Tahoma"/>
            <family val="2"/>
          </rPr>
          <t>Usuario:</t>
        </r>
        <r>
          <rPr>
            <sz val="9"/>
            <color indexed="81"/>
            <rFont val="Tahoma"/>
            <family val="2"/>
          </rPr>
          <t xml:space="preserve">
En reporte 2020 se registra para este proyecto $829.142.980</t>
        </r>
      </text>
    </comment>
    <comment ref="AK37" authorId="0" shapeId="0" xr:uid="{A40682E1-CB0D-4E86-8EE7-EF7BD1809B92}">
      <text>
        <r>
          <rPr>
            <b/>
            <sz val="9"/>
            <color indexed="81"/>
            <rFont val="Tahoma"/>
            <family val="2"/>
          </rPr>
          <t>Usuario:</t>
        </r>
        <r>
          <rPr>
            <sz val="9"/>
            <color indexed="81"/>
            <rFont val="Tahoma"/>
            <family val="2"/>
          </rPr>
          <t xml:space="preserve">
Ajustado a formato porcentaje</t>
        </r>
      </text>
    </comment>
    <comment ref="AF38" authorId="0" shapeId="0" xr:uid="{F17B0AB1-373F-4FC4-8407-EB6CCEFC00B0}">
      <text>
        <r>
          <rPr>
            <b/>
            <sz val="9"/>
            <color indexed="81"/>
            <rFont val="Tahoma"/>
            <family val="2"/>
          </rPr>
          <t>Usuario:</t>
        </r>
        <r>
          <rPr>
            <sz val="9"/>
            <color indexed="81"/>
            <rFont val="Tahoma"/>
            <family val="2"/>
          </rPr>
          <t xml:space="preserve">
En informe 2020 tienen registrado 17.750.000</t>
        </r>
      </text>
    </comment>
    <comment ref="AO38" authorId="2" shapeId="0" xr:uid="{AD425A71-7D6A-49F2-BB95-F0EF9073957B}">
      <text>
        <r>
          <rPr>
            <sz val="11"/>
            <color theme="1"/>
            <rFont val="Arial"/>
            <family val="2"/>
          </rPr>
          <t xml:space="preserve">Lo articulan con la meta: Aumentar considerablemente el uso eficiente de los recursos hídricos en todos los sectores al 2030
</t>
        </r>
      </text>
    </comment>
    <comment ref="AF39" authorId="0" shapeId="0" xr:uid="{4F4EB595-3D75-4E27-B379-7191A333B6CA}">
      <text>
        <r>
          <rPr>
            <b/>
            <sz val="9"/>
            <color indexed="81"/>
            <rFont val="Tahoma"/>
            <family val="2"/>
          </rPr>
          <t>Usuario:</t>
        </r>
        <r>
          <rPr>
            <sz val="9"/>
            <color indexed="81"/>
            <rFont val="Tahoma"/>
            <family val="2"/>
          </rPr>
          <t xml:space="preserve">
No corresponde con lo reportado en 2020</t>
        </r>
      </text>
    </comment>
    <comment ref="AO39" authorId="2" shapeId="0" xr:uid="{8B090CDB-96B7-424D-8C9E-934804F87CA4}">
      <text>
        <r>
          <rPr>
            <sz val="11"/>
            <color theme="1"/>
            <rFont val="Arial"/>
            <family val="2"/>
          </rPr>
          <t xml:space="preserve">Estas actividades no las encontre articuladas a ODS en el Anexo 19
</t>
        </r>
      </text>
    </comment>
    <comment ref="AD45" authorId="0" shapeId="0" xr:uid="{55A202FA-3A33-4F3F-82D6-5C931DA79BDD}">
      <text>
        <r>
          <rPr>
            <b/>
            <sz val="9"/>
            <color indexed="81"/>
            <rFont val="Tahoma"/>
            <family val="2"/>
          </rPr>
          <t>Usuario:</t>
        </r>
        <r>
          <rPr>
            <sz val="9"/>
            <color indexed="81"/>
            <rFont val="Tahoma"/>
            <family val="2"/>
          </rPr>
          <t xml:space="preserve">
se ajusto formato a %</t>
        </r>
      </text>
    </comment>
    <comment ref="AO51" authorId="2" shapeId="0" xr:uid="{54F52049-E616-4F95-BE75-B0FD8BD84E9B}">
      <text>
        <r>
          <rPr>
            <sz val="11"/>
            <color theme="1"/>
            <rFont val="Arial"/>
            <family val="2"/>
          </rPr>
          <t xml:space="preserve">Es el indicadores asociado a la meta del ODS con el que se articulo
</t>
        </r>
      </text>
    </comment>
    <comment ref="AO52" authorId="2" shapeId="0" xr:uid="{D4FB7504-BB40-462E-AD5B-32679C24B80D}">
      <text>
        <r>
          <rPr>
            <sz val="11"/>
            <color theme="1"/>
            <rFont val="Arial"/>
            <family val="2"/>
          </rPr>
          <t xml:space="preserve">Es el indicadores asociado a la meta del ODS con el que se articulo
</t>
        </r>
      </text>
    </comment>
    <comment ref="AO53" authorId="2" shapeId="0" xr:uid="{3A9E1575-9798-40D4-BC23-186B81A3A381}">
      <text>
        <r>
          <rPr>
            <sz val="11"/>
            <color theme="1"/>
            <rFont val="Arial"/>
            <family val="2"/>
          </rPr>
          <t xml:space="preserve">Es el indicadores asociado a la meta del ODS con el que se articulo
</t>
        </r>
      </text>
    </comment>
    <comment ref="AO54" authorId="2" shapeId="0" xr:uid="{B5D24975-1D6F-4143-892B-4465A9E50503}">
      <text>
        <r>
          <rPr>
            <sz val="11"/>
            <color theme="1"/>
            <rFont val="Arial"/>
            <family val="2"/>
          </rPr>
          <t xml:space="preserve">Es el indicadores asociado a la meta del ODS con el que se articulo
</t>
        </r>
      </text>
    </comment>
    <comment ref="AF56" authorId="0" shapeId="0" xr:uid="{E195895D-1549-4BCC-8C70-296B3D615450}">
      <text>
        <r>
          <rPr>
            <b/>
            <sz val="9"/>
            <color indexed="81"/>
            <rFont val="Tahoma"/>
            <family val="2"/>
          </rPr>
          <t>Usuario:</t>
        </r>
        <r>
          <rPr>
            <sz val="9"/>
            <color indexed="81"/>
            <rFont val="Tahoma"/>
            <family val="2"/>
          </rPr>
          <t xml:space="preserve">
Informe 2020: $1.574.061.216. Difiere por proyecto 2.1.1.</t>
        </r>
      </text>
    </comment>
    <comment ref="AF58" authorId="0" shapeId="0" xr:uid="{C5FCD2A5-4D45-447D-AA8C-C40021EB491C}">
      <text>
        <r>
          <rPr>
            <b/>
            <sz val="9"/>
            <color indexed="81"/>
            <rFont val="Tahoma"/>
            <family val="2"/>
          </rPr>
          <t>Usuario:</t>
        </r>
        <r>
          <rPr>
            <sz val="9"/>
            <color indexed="81"/>
            <rFont val="Tahoma"/>
            <family val="2"/>
          </rPr>
          <t xml:space="preserve">
Informe 2020: 65.662.916</t>
        </r>
      </text>
    </comment>
    <comment ref="AD60" authorId="0" shapeId="0" xr:uid="{3700A445-7206-4C27-B7A6-A9581586C7DD}">
      <text>
        <r>
          <rPr>
            <b/>
            <sz val="9"/>
            <color indexed="81"/>
            <rFont val="Tahoma"/>
            <family val="2"/>
          </rPr>
          <t>Usuario:</t>
        </r>
        <r>
          <rPr>
            <sz val="9"/>
            <color indexed="81"/>
            <rFont val="Tahoma"/>
            <family val="2"/>
          </rPr>
          <t xml:space="preserve">
se ajusto formato a %</t>
        </r>
      </text>
    </comment>
    <comment ref="Z62" authorId="0" shapeId="0" xr:uid="{8B20FC50-F0E4-4F54-82CD-C767FC570B4B}">
      <text>
        <r>
          <rPr>
            <b/>
            <sz val="9"/>
            <color indexed="81"/>
            <rFont val="Tahoma"/>
            <family val="2"/>
          </rPr>
          <t>Usuario:</t>
        </r>
        <r>
          <rPr>
            <sz val="9"/>
            <color indexed="81"/>
            <rFont val="Tahoma"/>
            <family val="2"/>
          </rPr>
          <t xml:space="preserve">
No hay meta</t>
        </r>
      </text>
    </comment>
    <comment ref="AD62" authorId="0" shapeId="0" xr:uid="{2814936E-44C5-44B6-969C-B6A53FF473D2}">
      <text>
        <r>
          <rPr>
            <b/>
            <sz val="9"/>
            <color indexed="81"/>
            <rFont val="Tahoma"/>
            <family val="2"/>
          </rPr>
          <t>Usuario:</t>
        </r>
        <r>
          <rPr>
            <sz val="9"/>
            <color indexed="81"/>
            <rFont val="Tahoma"/>
            <family val="2"/>
          </rPr>
          <t xml:space="preserve">
se ajusto formato a %</t>
        </r>
      </text>
    </comment>
    <comment ref="AF62" authorId="0" shapeId="0" xr:uid="{E2DD6C19-1075-4D75-A957-A12A966B18C0}">
      <text>
        <r>
          <rPr>
            <b/>
            <sz val="9"/>
            <color indexed="81"/>
            <rFont val="Tahoma"/>
            <family val="2"/>
          </rPr>
          <t>Usuario:</t>
        </r>
        <r>
          <rPr>
            <sz val="9"/>
            <color indexed="81"/>
            <rFont val="Tahoma"/>
            <family val="2"/>
          </rPr>
          <t xml:space="preserve">
No hay meta y en informe 2020 registran: 65.662.916</t>
        </r>
      </text>
    </comment>
    <comment ref="AF65" authorId="0" shapeId="0" xr:uid="{1EBE5405-430D-4A10-A4C4-88CC1C238049}">
      <text>
        <r>
          <rPr>
            <b/>
            <sz val="9"/>
            <color indexed="81"/>
            <rFont val="Tahoma"/>
            <family val="2"/>
          </rPr>
          <t>Usuario:</t>
        </r>
        <r>
          <rPr>
            <sz val="9"/>
            <color indexed="81"/>
            <rFont val="Tahoma"/>
            <family val="2"/>
          </rPr>
          <t xml:space="preserve">
Difiere de lo reportado en 2020</t>
        </r>
      </text>
    </comment>
    <comment ref="AO65" authorId="2" shapeId="0" xr:uid="{77228C8E-65C0-4A8B-9E9E-2B713D859ECC}">
      <text>
        <r>
          <rPr>
            <sz val="11"/>
            <color theme="1"/>
            <rFont val="Arial"/>
            <family val="2"/>
          </rPr>
          <t xml:space="preserve">En PAI lo asocian a indicador 15 pero no un indicador especifico, este le aplica.
</t>
        </r>
      </text>
    </comment>
    <comment ref="AO66" authorId="2" shapeId="0" xr:uid="{A2F22333-D493-4493-81DD-EFC729FB5B0D}">
      <text>
        <r>
          <rPr>
            <sz val="11"/>
            <color theme="1"/>
            <rFont val="Arial"/>
            <family val="2"/>
          </rPr>
          <t xml:space="preserve">En PAI lo asocian a indicador 15 pero no un indicador especifico, este le aplica.
</t>
        </r>
      </text>
    </comment>
    <comment ref="AF67" authorId="0" shapeId="0" xr:uid="{66F0FB9B-93DC-48F8-B7F5-53C3732B557D}">
      <text>
        <r>
          <rPr>
            <b/>
            <sz val="9"/>
            <color indexed="81"/>
            <rFont val="Tahoma"/>
            <family val="2"/>
          </rPr>
          <t>Usuario:</t>
        </r>
        <r>
          <rPr>
            <sz val="9"/>
            <color indexed="81"/>
            <rFont val="Tahoma"/>
            <family val="2"/>
          </rPr>
          <t xml:space="preserve">
Difiere de lo reportado en 2020</t>
        </r>
      </text>
    </comment>
    <comment ref="AD70" authorId="0" shapeId="0" xr:uid="{793ADA16-50E1-4979-BE3C-913A673E23B8}">
      <text>
        <r>
          <rPr>
            <b/>
            <sz val="9"/>
            <color indexed="81"/>
            <rFont val="Tahoma"/>
            <family val="2"/>
          </rPr>
          <t>Usuario:</t>
        </r>
        <r>
          <rPr>
            <sz val="9"/>
            <color indexed="81"/>
            <rFont val="Tahoma"/>
            <family val="2"/>
          </rPr>
          <t xml:space="preserve">
se ajusto formato a %</t>
        </r>
      </text>
    </comment>
    <comment ref="AD71" authorId="0" shapeId="0" xr:uid="{DC1AAF3A-DCB0-4992-9442-2FBB593C0914}">
      <text>
        <r>
          <rPr>
            <b/>
            <sz val="9"/>
            <color indexed="81"/>
            <rFont val="Tahoma"/>
            <family val="2"/>
          </rPr>
          <t>Usuario:</t>
        </r>
        <r>
          <rPr>
            <sz val="9"/>
            <color indexed="81"/>
            <rFont val="Tahoma"/>
            <family val="2"/>
          </rPr>
          <t xml:space="preserve">
se ajusto formato a %</t>
        </r>
      </text>
    </comment>
    <comment ref="F72" authorId="0" shapeId="0" xr:uid="{FB0AAE87-6F35-4CA9-823F-EA4F4AD2E0EF}">
      <text>
        <r>
          <rPr>
            <b/>
            <sz val="9"/>
            <color indexed="81"/>
            <rFont val="Tahoma"/>
            <family val="2"/>
          </rPr>
          <t>Usuario:</t>
        </r>
        <r>
          <rPr>
            <sz val="9"/>
            <color indexed="81"/>
            <rFont val="Tahoma"/>
            <family val="2"/>
          </rPr>
          <t xml:space="preserve">
Como implementan acciones de un POMIUAC que no ha sido adoptado?</t>
        </r>
      </text>
    </comment>
    <comment ref="AD72" authorId="0" shapeId="0" xr:uid="{B37A6243-9CD9-414B-A2D4-E80D5CD6BFCE}">
      <text>
        <r>
          <rPr>
            <b/>
            <sz val="9"/>
            <color indexed="81"/>
            <rFont val="Tahoma"/>
            <family val="2"/>
          </rPr>
          <t>Usuario:</t>
        </r>
        <r>
          <rPr>
            <sz val="9"/>
            <color indexed="81"/>
            <rFont val="Tahoma"/>
            <family val="2"/>
          </rPr>
          <t xml:space="preserve">
se ajusto formato a %</t>
        </r>
      </text>
    </comment>
    <comment ref="Z83" authorId="0" shapeId="0" xr:uid="{43D75C65-FAAF-4D45-BA50-547E326F1095}">
      <text>
        <r>
          <rPr>
            <b/>
            <sz val="9"/>
            <color indexed="81"/>
            <rFont val="Tahoma"/>
            <family val="2"/>
          </rPr>
          <t>Usuario:</t>
        </r>
        <r>
          <rPr>
            <sz val="9"/>
            <color indexed="81"/>
            <rFont val="Tahoma"/>
            <family val="2"/>
          </rPr>
          <t xml:space="preserve">
No hay meta</t>
        </r>
      </text>
    </comment>
    <comment ref="AA83" authorId="0" shapeId="0" xr:uid="{D98EEE68-1674-4826-995B-EF4DD1D4056E}">
      <text>
        <r>
          <rPr>
            <b/>
            <sz val="9"/>
            <color indexed="81"/>
            <rFont val="Tahoma"/>
            <family val="2"/>
          </rPr>
          <t>Usuario:</t>
        </r>
        <r>
          <rPr>
            <sz val="9"/>
            <color indexed="81"/>
            <rFont val="Tahoma"/>
            <family val="2"/>
          </rPr>
          <t xml:space="preserve">
No hay meta</t>
        </r>
      </text>
    </comment>
    <comment ref="J88" authorId="0" shapeId="0" xr:uid="{0EAA5984-64C5-4B54-A2B9-C2E37B32E557}">
      <text>
        <r>
          <rPr>
            <b/>
            <sz val="9"/>
            <color indexed="81"/>
            <rFont val="Tahoma"/>
            <family val="2"/>
          </rPr>
          <t>Usuario:</t>
        </r>
        <r>
          <rPr>
            <sz val="9"/>
            <color indexed="81"/>
            <rFont val="Tahoma"/>
            <family val="2"/>
          </rPr>
          <t xml:space="preserve">
Relación con el indicador?</t>
        </r>
      </text>
    </comment>
    <comment ref="AD90" authorId="0" shapeId="0" xr:uid="{33DA9803-DBF1-46A1-A116-B9170B67C34D}">
      <text>
        <r>
          <rPr>
            <b/>
            <sz val="9"/>
            <color indexed="81"/>
            <rFont val="Tahoma"/>
            <family val="2"/>
          </rPr>
          <t>Usuario:</t>
        </r>
        <r>
          <rPr>
            <sz val="9"/>
            <color indexed="81"/>
            <rFont val="Tahoma"/>
            <family val="2"/>
          </rPr>
          <t xml:space="preserve">
Se ajusto formato a %</t>
        </r>
      </text>
    </comment>
    <comment ref="B91" authorId="0" shapeId="0" xr:uid="{0429C18E-B1B4-4270-9EF0-900B62154EAB}">
      <text>
        <r>
          <rPr>
            <b/>
            <sz val="9"/>
            <color indexed="81"/>
            <rFont val="Tahoma"/>
            <family val="2"/>
          </rPr>
          <t>Usuario:</t>
        </r>
        <r>
          <rPr>
            <sz val="9"/>
            <color indexed="81"/>
            <rFont val="Tahoma"/>
            <family val="2"/>
          </rPr>
          <t xml:space="preserve">
Especificar en la creación del indicador en CARdinal</t>
        </r>
      </text>
    </comment>
    <comment ref="AD94" authorId="0" shapeId="0" xr:uid="{594D6C34-3CA2-47E4-A79D-B3EFA67205CD}">
      <text>
        <r>
          <rPr>
            <b/>
            <sz val="9"/>
            <color indexed="81"/>
            <rFont val="Tahoma"/>
            <family val="2"/>
          </rPr>
          <t>Usuario:</t>
        </r>
        <r>
          <rPr>
            <sz val="9"/>
            <color indexed="81"/>
            <rFont val="Tahoma"/>
            <family val="2"/>
          </rPr>
          <t xml:space="preserve">
Se ajusto formato a %</t>
        </r>
      </text>
    </comment>
    <comment ref="AD96" authorId="0" shapeId="0" xr:uid="{E5BD15BF-0F34-4C82-B02A-1B677DD48C11}">
      <text>
        <r>
          <rPr>
            <b/>
            <sz val="9"/>
            <color indexed="81"/>
            <rFont val="Tahoma"/>
            <family val="2"/>
          </rPr>
          <t>Usuario:</t>
        </r>
        <r>
          <rPr>
            <sz val="9"/>
            <color indexed="81"/>
            <rFont val="Tahoma"/>
            <family val="2"/>
          </rPr>
          <t xml:space="preserve">
Se ajusto formato a %</t>
        </r>
      </text>
    </comment>
    <comment ref="A106" authorId="2" shapeId="0" xr:uid="{9F5E2BDE-E11F-41FB-968F-F13B3515DA9B}">
      <text>
        <r>
          <rPr>
            <sz val="11"/>
            <color theme="1"/>
            <rFont val="Arial"/>
            <family val="2"/>
          </rPr>
          <t>Se ajusto el termino resaltado en rojo de la forma como se encuentra en el Anexo 19 del PAI.</t>
        </r>
      </text>
    </comment>
    <comment ref="J107" authorId="0" shapeId="0" xr:uid="{AA142634-DF51-4F8C-9A0E-B1F4EC878C87}">
      <text>
        <r>
          <rPr>
            <b/>
            <sz val="9"/>
            <color indexed="81"/>
            <rFont val="Tahoma"/>
            <family val="2"/>
          </rPr>
          <t>Usuario:</t>
        </r>
        <r>
          <rPr>
            <sz val="9"/>
            <color indexed="81"/>
            <rFont val="Tahoma"/>
            <family val="2"/>
          </rPr>
          <t xml:space="preserve">
Osea el convenio cubre 25 semilleros?</t>
        </r>
      </text>
    </comment>
    <comment ref="AO122" authorId="2" shapeId="0" xr:uid="{B0BB1439-AA0B-4DAD-834C-AA8A73788101}">
      <text>
        <r>
          <rPr>
            <sz val="11"/>
            <color theme="1"/>
            <rFont val="Arial"/>
            <family val="2"/>
          </rPr>
          <t xml:space="preserve">Lo articulan a varios indicadores ODS, se selecciona uno de ellos
</t>
        </r>
      </text>
    </comment>
    <comment ref="A126" authorId="2" shapeId="0" xr:uid="{E6365ED7-B302-46A1-9995-6EFC7C3E6182}">
      <text>
        <r>
          <rPr>
            <sz val="11"/>
            <color theme="1"/>
            <rFont val="Arial"/>
            <family val="2"/>
          </rPr>
          <t>Como solo se permite un solo indicador por actividad, se duplica incorporando una letra diferenciadora y de esta manera se conservan los dos indicadores asociados.</t>
        </r>
      </text>
    </comment>
    <comment ref="A127" authorId="2" shapeId="0" xr:uid="{9559B684-D43F-40D5-830F-F9A27496B271}">
      <text>
        <r>
          <rPr>
            <sz val="11"/>
            <color theme="1"/>
            <rFont val="Arial"/>
            <family val="2"/>
          </rPr>
          <t>Como solo se permite un solo indicador por actividad, se duplica incorporando una letra diferenciadora y de esta manera se conservan los dos indicadores asociados.</t>
        </r>
      </text>
    </comment>
    <comment ref="AD128" authorId="0" shapeId="0" xr:uid="{3684DE5C-7792-4C13-B947-61DCE329B443}">
      <text>
        <r>
          <rPr>
            <b/>
            <sz val="9"/>
            <color indexed="81"/>
            <rFont val="Tahoma"/>
            <family val="2"/>
          </rPr>
          <t>Usuario:</t>
        </r>
        <r>
          <rPr>
            <sz val="9"/>
            <color indexed="81"/>
            <rFont val="Tahoma"/>
            <family val="2"/>
          </rPr>
          <t xml:space="preserve">
Se ajusto formato a %</t>
        </r>
      </text>
    </comment>
    <comment ref="A130" authorId="2" shapeId="0" xr:uid="{DFB93AFB-9969-46A7-8D89-A6D801113209}">
      <text>
        <r>
          <rPr>
            <sz val="11"/>
            <color theme="1"/>
            <rFont val="Arial"/>
            <family val="2"/>
          </rPr>
          <t>Como solo se permite un solo indicador por actividad, se duplica incorporando una letra diferenciadora y de esta manera se conservan los dos indicadores asociados.</t>
        </r>
      </text>
    </comment>
    <comment ref="A131" authorId="2" shapeId="0" xr:uid="{FA2B02E0-B0E0-401F-BA78-2A0088161AAC}">
      <text>
        <r>
          <rPr>
            <sz val="11"/>
            <color theme="1"/>
            <rFont val="Arial"/>
            <family val="2"/>
          </rPr>
          <t>Como solo se permite un solo indicador por actividad, se duplica incorporando una letra diferenciadora y de esta manera se conservan los dos indicadores asociados.</t>
        </r>
      </text>
    </comment>
    <comment ref="AD139" authorId="0" shapeId="0" xr:uid="{51721B55-F2BE-4B40-B1ED-5B704D0C65CA}">
      <text>
        <r>
          <rPr>
            <b/>
            <sz val="9"/>
            <color indexed="81"/>
            <rFont val="Tahoma"/>
            <family val="2"/>
          </rPr>
          <t>Usuario:</t>
        </r>
        <r>
          <rPr>
            <sz val="9"/>
            <color indexed="81"/>
            <rFont val="Tahoma"/>
            <family val="2"/>
          </rPr>
          <t xml:space="preserve">
Se ajusto formato a %</t>
        </r>
      </text>
    </comment>
    <comment ref="AO149" authorId="2" shapeId="0" xr:uid="{06C143AC-96E6-411B-A515-3CC8A62A697A}">
      <text>
        <r>
          <rPr>
            <sz val="11"/>
            <color theme="1"/>
            <rFont val="Arial"/>
            <family val="2"/>
          </rPr>
          <t xml:space="preserve">Lo articulan con ODS 11 pero no se encontro un indicador afin al alcance de la actividad
</t>
        </r>
      </text>
    </comment>
    <comment ref="AO152" authorId="2" shapeId="0" xr:uid="{92BB1007-C19F-4752-9538-A94154B60A40}">
      <text>
        <r>
          <rPr>
            <sz val="11"/>
            <color theme="1"/>
            <rFont val="Arial"/>
            <family val="2"/>
          </rPr>
          <t xml:space="preserve">Asociado a metas de 2 ODS, se selecciono el más afin al alcance de del proyecto
</t>
        </r>
      </text>
    </comment>
    <comment ref="AO154" authorId="2" shapeId="0" xr:uid="{CCC07A92-7CA6-4E78-8F31-CC633A7D77ED}">
      <text>
        <r>
          <rPr>
            <sz val="11"/>
            <color theme="1"/>
            <rFont val="Arial"/>
            <family val="2"/>
          </rPr>
          <t xml:space="preserve">Asociado a metas de 2 ODS, se selecciono el más afin al alcance de del proyecto
</t>
        </r>
      </text>
    </comment>
    <comment ref="AO156" authorId="2" shapeId="0" xr:uid="{5C7504ED-3317-4B84-A5D5-41CDAEDBEC2C}">
      <text>
        <r>
          <rPr>
            <sz val="11"/>
            <color theme="1"/>
            <rFont val="Arial"/>
            <family val="2"/>
          </rPr>
          <t xml:space="preserve">Asociado a metas de 2 ODS
</t>
        </r>
      </text>
    </comment>
    <comment ref="AO160" authorId="2" shapeId="0" xr:uid="{C9653B35-852F-43C0-9E64-0D9F07190E46}">
      <text>
        <r>
          <rPr>
            <sz val="11"/>
            <color theme="1"/>
            <rFont val="Arial"/>
            <family val="2"/>
          </rPr>
          <t xml:space="preserve">Lo articulan a ODS 11, sin embargo no se encontró un indicador acorde al alcance del producto
</t>
        </r>
      </text>
    </comment>
    <comment ref="AO162" authorId="2" shapeId="0" xr:uid="{D1B3B786-50B2-4088-9700-BCB5B4D25496}">
      <text>
        <r>
          <rPr>
            <sz val="11"/>
            <color theme="1"/>
            <rFont val="Arial"/>
            <family val="2"/>
          </rPr>
          <t xml:space="preserve">Lo articulan a ODS 11, sin embargo no se encontró un indicador acorde al alcance del producto
</t>
        </r>
      </text>
    </comment>
    <comment ref="AO164" authorId="2" shapeId="0" xr:uid="{E2C179CB-12E0-49B9-BE76-C498D8F1D99D}">
      <text>
        <r>
          <rPr>
            <sz val="11"/>
            <color theme="1"/>
            <rFont val="Arial"/>
            <family val="2"/>
          </rPr>
          <t xml:space="preserve">Asociado al ODS 11, se selecciono el más afin al alcance de del proyecto
</t>
        </r>
      </text>
    </comment>
    <comment ref="AO166" authorId="2" shapeId="0" xr:uid="{8B4E5F63-5444-4B3C-B441-9F50AEC6EE9F}">
      <text>
        <r>
          <rPr>
            <sz val="11"/>
            <color theme="1"/>
            <rFont val="Arial"/>
            <family val="2"/>
          </rPr>
          <t xml:space="preserve">Asociado a metas de 2 ODS, se selecciono uno de los indicadores sin embargo se recomienda revisar la pertinencia de este de acuerdo al alcance del proyecto.
</t>
        </r>
      </text>
    </comment>
    <comment ref="AD167" authorId="0" shapeId="0" xr:uid="{58133611-F497-46FD-82DC-4936E4686612}">
      <text>
        <r>
          <rPr>
            <b/>
            <sz val="9"/>
            <color indexed="81"/>
            <rFont val="Tahoma"/>
            <family val="2"/>
          </rPr>
          <t>Usuario:</t>
        </r>
        <r>
          <rPr>
            <sz val="9"/>
            <color indexed="81"/>
            <rFont val="Tahoma"/>
            <family val="2"/>
          </rPr>
          <t xml:space="preserve">
Se ajusto formato a %</t>
        </r>
      </text>
    </comment>
    <comment ref="AD168" authorId="0" shapeId="0" xr:uid="{D385FB1A-DFE3-43D9-89C3-6D357492B988}">
      <text>
        <r>
          <rPr>
            <b/>
            <sz val="9"/>
            <color indexed="81"/>
            <rFont val="Tahoma"/>
            <family val="2"/>
          </rPr>
          <t>Usuario:</t>
        </r>
        <r>
          <rPr>
            <sz val="9"/>
            <color indexed="81"/>
            <rFont val="Tahoma"/>
            <family val="2"/>
          </rPr>
          <t xml:space="preserve">
Se ajusto formato a %</t>
        </r>
      </text>
    </comment>
    <comment ref="AO177" authorId="2" shapeId="0" xr:uid="{F6A271A4-3CDC-4E86-84A1-7A2CE632767C}">
      <text>
        <r>
          <rPr>
            <sz val="11"/>
            <color theme="1"/>
            <rFont val="Arial"/>
            <family val="2"/>
          </rPr>
          <t xml:space="preserve">Lo articulan con ODS 11
</t>
        </r>
      </text>
    </comment>
    <comment ref="AD178" authorId="0" shapeId="0" xr:uid="{86B252D9-D2FB-4BE9-AC77-DD093E12413B}">
      <text>
        <r>
          <rPr>
            <b/>
            <sz val="9"/>
            <color indexed="81"/>
            <rFont val="Tahoma"/>
            <family val="2"/>
          </rPr>
          <t>Usuario:</t>
        </r>
        <r>
          <rPr>
            <sz val="9"/>
            <color indexed="81"/>
            <rFont val="Tahoma"/>
            <family val="2"/>
          </rPr>
          <t xml:space="preserve">
Se ajusto formato a %</t>
        </r>
      </text>
    </comment>
    <comment ref="AO179" authorId="2" shapeId="0" xr:uid="{8CDAF0B3-0AD5-4BE8-A2A8-BF1E91F63DDF}">
      <text>
        <r>
          <rPr>
            <sz val="11"/>
            <color theme="1"/>
            <rFont val="Arial"/>
            <family val="2"/>
          </rPr>
          <t xml:space="preserve">Lo articulan con ODS 11
</t>
        </r>
      </text>
    </comment>
    <comment ref="AO180" authorId="2" shapeId="0" xr:uid="{709D5E5A-E6E6-4278-8F8B-250B6ED0B00D}">
      <text>
        <r>
          <rPr>
            <sz val="11"/>
            <color theme="1"/>
            <rFont val="Arial"/>
            <family val="2"/>
          </rPr>
          <t xml:space="preserve">Lo articulan con ODS 11
</t>
        </r>
      </text>
    </comment>
    <comment ref="A181" authorId="2" shapeId="0" xr:uid="{9A3D4664-1176-4F5E-8FD8-472CD9DFFF96}">
      <text>
        <r>
          <rPr>
            <sz val="11"/>
            <color theme="1"/>
            <rFont val="Arial"/>
            <family val="2"/>
          </rPr>
          <t>Se duplica actividad para conservar los dos indicadores asociados</t>
        </r>
      </text>
    </comment>
    <comment ref="AO181" authorId="2" shapeId="0" xr:uid="{4E39F6B6-BE48-4B6C-8297-1ED1EC1E684B}">
      <text>
        <r>
          <rPr>
            <sz val="11"/>
            <color theme="1"/>
            <rFont val="Arial"/>
            <family val="2"/>
          </rPr>
          <t xml:space="preserve">Lo articulan con ODS 11
</t>
        </r>
      </text>
    </comment>
    <comment ref="AI186" authorId="0" shapeId="0" xr:uid="{57ED31D5-9215-4218-A5E4-B234A8596ACF}">
      <text>
        <r>
          <rPr>
            <b/>
            <sz val="9"/>
            <color indexed="81"/>
            <rFont val="Tahoma"/>
            <family val="2"/>
          </rPr>
          <t>Usuario:</t>
        </r>
        <r>
          <rPr>
            <sz val="9"/>
            <color indexed="81"/>
            <rFont val="Tahoma"/>
            <family val="2"/>
          </rPr>
          <t xml:space="preserve">
Solucionado al actualizarlo con la info del sem I del 2021</t>
        </r>
      </text>
    </comment>
    <comment ref="AI187" authorId="0" shapeId="0" xr:uid="{EABA7EFE-F54D-4720-BA38-1F6C74D25AE1}">
      <text>
        <r>
          <rPr>
            <b/>
            <sz val="9"/>
            <color indexed="81"/>
            <rFont val="Tahoma"/>
            <family val="2"/>
          </rPr>
          <t>Usuario:</t>
        </r>
        <r>
          <rPr>
            <sz val="9"/>
            <color indexed="81"/>
            <rFont val="Tahoma"/>
            <family val="2"/>
          </rPr>
          <t xml:space="preserve">
Solucionado al actualizarlo con la info del sem I del 2021</t>
        </r>
      </text>
    </comment>
    <comment ref="AO187" authorId="2" shapeId="0" xr:uid="{26CEBE8C-BD20-4834-AF22-D852F741983A}">
      <text>
        <r>
          <rPr>
            <sz val="11"/>
            <color theme="1"/>
            <rFont val="Arial"/>
            <family val="2"/>
          </rPr>
          <t xml:space="preserve">Lo articularon con ODS 15
</t>
        </r>
      </text>
    </comment>
    <comment ref="E192" authorId="0" shapeId="0" xr:uid="{982357A8-9CFC-4AA8-AA55-38DA4103F6FD}">
      <text>
        <r>
          <rPr>
            <b/>
            <sz val="9"/>
            <color indexed="81"/>
            <rFont val="Tahoma"/>
            <family val="2"/>
          </rPr>
          <t>Usuario:</t>
        </r>
        <r>
          <rPr>
            <sz val="9"/>
            <color indexed="81"/>
            <rFont val="Tahoma"/>
            <family val="2"/>
          </rPr>
          <t xml:space="preserve">
Revisar frente a lo consignado en el documento</t>
        </r>
      </text>
    </comment>
    <comment ref="J192" authorId="0" shapeId="0" xr:uid="{71E964BA-E39D-418E-9EE5-21F3E8F117FD}">
      <text>
        <r>
          <rPr>
            <b/>
            <sz val="9"/>
            <color indexed="81"/>
            <rFont val="Tahoma"/>
            <family val="2"/>
          </rPr>
          <t>Usuario:</t>
        </r>
        <r>
          <rPr>
            <sz val="9"/>
            <color indexed="81"/>
            <rFont val="Tahoma"/>
            <family val="2"/>
          </rPr>
          <t xml:space="preserve">
Revisar frente a lo consignado en el documento</t>
        </r>
      </text>
    </comment>
    <comment ref="AO192" authorId="2" shapeId="0" xr:uid="{A6792F88-4E3F-4536-9E79-40BD4E3DCA1E}">
      <text>
        <r>
          <rPr>
            <sz val="11"/>
            <color theme="1"/>
            <rFont val="Arial"/>
            <family val="2"/>
          </rPr>
          <t xml:space="preserve">Lo articulan con ODS15
</t>
        </r>
      </text>
    </comment>
    <comment ref="E193" authorId="0" shapeId="0" xr:uid="{43D7F5F5-ED31-48E5-8496-6A7D71280432}">
      <text>
        <r>
          <rPr>
            <b/>
            <sz val="9"/>
            <color indexed="81"/>
            <rFont val="Tahoma"/>
            <family val="2"/>
          </rPr>
          <t>Usuario:</t>
        </r>
        <r>
          <rPr>
            <sz val="9"/>
            <color indexed="81"/>
            <rFont val="Tahoma"/>
            <family val="2"/>
          </rPr>
          <t xml:space="preserve">
Revisar frente a lo consignado en el documento</t>
        </r>
      </text>
    </comment>
    <comment ref="AO193" authorId="2" shapeId="0" xr:uid="{120C2281-0CE4-4630-AE04-56FC7050CC9E}">
      <text>
        <r>
          <rPr>
            <sz val="11"/>
            <color theme="1"/>
            <rFont val="Arial"/>
            <family val="2"/>
          </rPr>
          <t xml:space="preserve">Lo articulan con ODS15
</t>
        </r>
      </text>
    </comment>
    <comment ref="AO194" authorId="2" shapeId="0" xr:uid="{7D0B60BB-20C7-449E-9CDD-4A07EAB5B4CE}">
      <text>
        <r>
          <rPr>
            <sz val="11"/>
            <color theme="1"/>
            <rFont val="Arial"/>
            <family val="2"/>
          </rPr>
          <t xml:space="preserve">Lo articulan con ODS15
</t>
        </r>
      </text>
    </comment>
    <comment ref="AO195" authorId="2" shapeId="0" xr:uid="{C1D81465-B9AC-4AE8-A2E5-45A82D8D016A}">
      <text>
        <r>
          <rPr>
            <sz val="11"/>
            <color theme="1"/>
            <rFont val="Arial"/>
            <family val="2"/>
          </rPr>
          <t xml:space="preserve">Lo articulan con ODS13
</t>
        </r>
      </text>
    </comment>
    <comment ref="A196" authorId="2" shapeId="0" xr:uid="{B4FC62D1-697E-4107-9F47-E196A75A897E}">
      <text>
        <r>
          <rPr>
            <sz val="11"/>
            <color theme="1"/>
            <rFont val="Arial"/>
            <family val="2"/>
          </rPr>
          <t xml:space="preserve">la acción es más la formalización que el instrumento en si </t>
        </r>
      </text>
    </comment>
    <comment ref="AO196" authorId="2" shapeId="0" xr:uid="{3B3B6AF3-F800-471D-B561-36A66A08DF67}">
      <text>
        <r>
          <rPr>
            <sz val="11"/>
            <color theme="1"/>
            <rFont val="Arial"/>
            <family val="2"/>
          </rPr>
          <t xml:space="preserve">Lo articulan con ODS13
</t>
        </r>
      </text>
    </comment>
    <comment ref="AO197" authorId="2" shapeId="0" xr:uid="{60B5414B-28FD-48F6-BDA5-5CE1E4BC58BF}">
      <text>
        <r>
          <rPr>
            <sz val="11"/>
            <color theme="1"/>
            <rFont val="Arial"/>
            <family val="2"/>
          </rPr>
          <t xml:space="preserve">Lo articulan con ODS15
</t>
        </r>
      </text>
    </comment>
    <comment ref="A198" authorId="2" shapeId="0" xr:uid="{914A5DC5-A145-46B0-8E1A-F3077D834311}">
      <text>
        <r>
          <rPr>
            <sz val="11"/>
            <color theme="1"/>
            <rFont val="Arial"/>
            <family val="2"/>
          </rPr>
          <t>relación actividad-indicador</t>
        </r>
      </text>
    </comment>
    <comment ref="A199" authorId="2" shapeId="0" xr:uid="{03054FBE-8E92-4874-B53C-769BA7C462F0}">
      <text>
        <r>
          <rPr>
            <sz val="11"/>
            <color theme="1"/>
            <rFont val="Arial"/>
            <family val="2"/>
          </rPr>
          <t>Actividad triplicada y sin relación con el indicador…Esta actividad debería reformularse y asociarse directamente al CAVF</t>
        </r>
      </text>
    </comment>
    <comment ref="AO201" authorId="2" shapeId="0" xr:uid="{C17B61B2-DA08-4259-98AA-AFA45B228316}">
      <text>
        <r>
          <rPr>
            <sz val="11"/>
            <color theme="1"/>
            <rFont val="Arial"/>
            <family val="2"/>
          </rPr>
          <t xml:space="preserve">Lo articulan con ODS15
</t>
        </r>
      </text>
    </comment>
    <comment ref="AD215" authorId="0" shapeId="0" xr:uid="{7C40E4F3-E737-493A-B803-A5E5EE43672D}">
      <text>
        <r>
          <rPr>
            <b/>
            <sz val="9"/>
            <color indexed="81"/>
            <rFont val="Tahoma"/>
            <family val="2"/>
          </rPr>
          <t>Usuario:</t>
        </r>
        <r>
          <rPr>
            <sz val="9"/>
            <color indexed="81"/>
            <rFont val="Tahoma"/>
            <family val="2"/>
          </rPr>
          <t xml:space="preserve">
Se ajusto formato a %</t>
        </r>
      </text>
    </comment>
    <comment ref="AD218" authorId="0" shapeId="0" xr:uid="{A5AEA40A-27F1-45C0-A1BD-93B3C7DD9C3F}">
      <text>
        <r>
          <rPr>
            <b/>
            <sz val="9"/>
            <color indexed="81"/>
            <rFont val="Tahoma"/>
            <family val="2"/>
          </rPr>
          <t>Usuario:</t>
        </r>
        <r>
          <rPr>
            <sz val="9"/>
            <color indexed="81"/>
            <rFont val="Tahoma"/>
            <family val="2"/>
          </rPr>
          <t xml:space="preserve">
Se ajusto formato a %</t>
        </r>
      </text>
    </comment>
    <comment ref="AD219" authorId="0" shapeId="0" xr:uid="{15E7F17C-F2E6-4496-98AB-43C0E82C2050}">
      <text>
        <r>
          <rPr>
            <b/>
            <sz val="9"/>
            <color indexed="81"/>
            <rFont val="Tahoma"/>
            <family val="2"/>
          </rPr>
          <t>Usuario:</t>
        </r>
        <r>
          <rPr>
            <sz val="9"/>
            <color indexed="81"/>
            <rFont val="Tahoma"/>
            <family val="2"/>
          </rPr>
          <t xml:space="preserve">
Se ajusto formato a %</t>
        </r>
      </text>
    </comment>
    <comment ref="AO220" authorId="2" shapeId="0" xr:uid="{1787FECF-CF40-4440-B53E-B8A6D31EF883}">
      <text>
        <r>
          <rPr>
            <sz val="11"/>
            <color theme="1"/>
            <rFont val="Arial"/>
            <family val="2"/>
          </rPr>
          <t xml:space="preserve">Este proyecto lo articulan con ODS 8 y 3. Solo se encontro un indicador afin correspondiente al ODS 8. Revisar
</t>
        </r>
      </text>
    </comment>
    <comment ref="Y221" authorId="0" shapeId="0" xr:uid="{7A2CBA6A-9072-4085-9919-664CC9CF6FE2}">
      <text>
        <r>
          <rPr>
            <b/>
            <sz val="9"/>
            <color indexed="81"/>
            <rFont val="Tahoma"/>
            <family val="2"/>
          </rPr>
          <t>Usuario:</t>
        </r>
        <r>
          <rPr>
            <sz val="9"/>
            <color indexed="81"/>
            <rFont val="Tahoma"/>
            <family val="2"/>
          </rPr>
          <t xml:space="preserve">
Revisar frente a meta</t>
        </r>
      </text>
    </comment>
    <comment ref="AD221" authorId="0" shapeId="0" xr:uid="{57FFE15C-F38C-4816-A719-EF3CF207DD80}">
      <text>
        <r>
          <rPr>
            <b/>
            <sz val="9"/>
            <color indexed="81"/>
            <rFont val="Tahoma"/>
            <family val="2"/>
          </rPr>
          <t>Usuario:</t>
        </r>
        <r>
          <rPr>
            <sz val="9"/>
            <color indexed="81"/>
            <rFont val="Tahoma"/>
            <family val="2"/>
          </rPr>
          <t xml:space="preserve">
Se ajusto formato a %</t>
        </r>
      </text>
    </comment>
    <comment ref="AO221" authorId="2" shapeId="0" xr:uid="{B559ED17-4F9E-45DA-9B42-241A6AD7BB67}">
      <text>
        <r>
          <rPr>
            <sz val="11"/>
            <color theme="1"/>
            <rFont val="Arial"/>
            <family val="2"/>
          </rPr>
          <t xml:space="preserve">Este proyecto lo articulan con ODS 8 y 3. Solo se encontro un indicador afin correspondiente al ODS 8. Revisar
</t>
        </r>
      </text>
    </comment>
    <comment ref="Y222" authorId="0" shapeId="0" xr:uid="{38F67A32-BD2E-41B8-9F5A-3AAC4F0F0996}">
      <text>
        <r>
          <rPr>
            <b/>
            <sz val="9"/>
            <color indexed="81"/>
            <rFont val="Tahoma"/>
            <family val="2"/>
          </rPr>
          <t>Usuario:</t>
        </r>
        <r>
          <rPr>
            <sz val="9"/>
            <color indexed="81"/>
            <rFont val="Tahoma"/>
            <family val="2"/>
          </rPr>
          <t xml:space="preserve">
Revisar frente a meta</t>
        </r>
      </text>
    </comment>
    <comment ref="AD222" authorId="0" shapeId="0" xr:uid="{3C1FFC59-C9FF-44AB-8880-36B317325ABE}">
      <text>
        <r>
          <rPr>
            <b/>
            <sz val="9"/>
            <color indexed="81"/>
            <rFont val="Tahoma"/>
            <family val="2"/>
          </rPr>
          <t>Usuario:</t>
        </r>
        <r>
          <rPr>
            <sz val="9"/>
            <color indexed="81"/>
            <rFont val="Tahoma"/>
            <family val="2"/>
          </rPr>
          <t xml:space="preserve">
Se ajusto formato a %</t>
        </r>
      </text>
    </comment>
    <comment ref="AI222" authorId="0" shapeId="0" xr:uid="{0AF7E670-FB3D-4CC9-8849-B23B98C3E4FF}">
      <text>
        <r>
          <rPr>
            <b/>
            <sz val="9"/>
            <color indexed="81"/>
            <rFont val="Tahoma"/>
            <family val="2"/>
          </rPr>
          <t>Usuario:</t>
        </r>
        <r>
          <rPr>
            <sz val="9"/>
            <color indexed="81"/>
            <rFont val="Tahoma"/>
            <family val="2"/>
          </rPr>
          <t xml:space="preserve">
Solucionado al actualizarlo con la info del sem I del 2021</t>
        </r>
      </text>
    </comment>
    <comment ref="Y223" authorId="0" shapeId="0" xr:uid="{3EF25E9D-B981-4CE5-844B-BCDF1A34F072}">
      <text>
        <r>
          <rPr>
            <b/>
            <sz val="9"/>
            <color indexed="81"/>
            <rFont val="Tahoma"/>
            <family val="2"/>
          </rPr>
          <t>Usuario:</t>
        </r>
        <r>
          <rPr>
            <sz val="9"/>
            <color indexed="81"/>
            <rFont val="Tahoma"/>
            <family val="2"/>
          </rPr>
          <t xml:space="preserve">
Revisar frente a meta</t>
        </r>
      </text>
    </comment>
    <comment ref="AI223" authorId="0" shapeId="0" xr:uid="{82FDE020-076E-4FD1-A2B2-99BAFC2AB933}">
      <text>
        <r>
          <rPr>
            <b/>
            <sz val="9"/>
            <color indexed="81"/>
            <rFont val="Tahoma"/>
            <family val="2"/>
          </rPr>
          <t>Usuario:</t>
        </r>
        <r>
          <rPr>
            <sz val="9"/>
            <color indexed="81"/>
            <rFont val="Tahoma"/>
            <family val="2"/>
          </rPr>
          <t xml:space="preserve">
Solucionado al actualizarlo con la info del sem I del 2021</t>
        </r>
      </text>
    </comment>
    <comment ref="AD224" authorId="0" shapeId="0" xr:uid="{F2FCCA6A-FABD-4770-9523-483EB0911683}">
      <text>
        <r>
          <rPr>
            <b/>
            <sz val="9"/>
            <color indexed="81"/>
            <rFont val="Tahoma"/>
            <family val="2"/>
          </rPr>
          <t>Usuario:</t>
        </r>
        <r>
          <rPr>
            <sz val="9"/>
            <color indexed="81"/>
            <rFont val="Tahoma"/>
            <family val="2"/>
          </rPr>
          <t xml:space="preserve">
Se ajusto formato a %</t>
        </r>
      </text>
    </comment>
    <comment ref="AD225" authorId="0" shapeId="0" xr:uid="{E010ECB0-9906-4CB7-9718-BA5E8F995944}">
      <text>
        <r>
          <rPr>
            <b/>
            <sz val="9"/>
            <color indexed="81"/>
            <rFont val="Tahoma"/>
            <family val="2"/>
          </rPr>
          <t>Usuario:</t>
        </r>
        <r>
          <rPr>
            <sz val="9"/>
            <color indexed="81"/>
            <rFont val="Tahoma"/>
            <family val="2"/>
          </rPr>
          <t xml:space="preserve">
Se ajusto formato a %</t>
        </r>
      </text>
    </comment>
    <comment ref="AD226" authorId="0" shapeId="0" xr:uid="{13EAC19B-21B9-40EA-AA22-2DE5B95337B3}">
      <text>
        <r>
          <rPr>
            <b/>
            <sz val="9"/>
            <color indexed="81"/>
            <rFont val="Tahoma"/>
            <family val="2"/>
          </rPr>
          <t>Usuario:</t>
        </r>
        <r>
          <rPr>
            <sz val="9"/>
            <color indexed="81"/>
            <rFont val="Tahoma"/>
            <family val="2"/>
          </rPr>
          <t xml:space="preserve">
Se ajusto formato a %</t>
        </r>
      </text>
    </comment>
    <comment ref="AO228" authorId="2" shapeId="0" xr:uid="{683C6430-0F79-42C7-BFA3-80B4D16BC9F5}">
      <text>
        <r>
          <rPr>
            <sz val="11"/>
            <color theme="1"/>
            <rFont val="Arial"/>
            <family val="2"/>
          </rPr>
          <t xml:space="preserve">Lo articularon con ODS 8 y 3
</t>
        </r>
      </text>
    </comment>
    <comment ref="AD230" authorId="0" shapeId="0" xr:uid="{DEEB4719-A00A-43A7-BE78-55F54D580B0D}">
      <text>
        <r>
          <rPr>
            <b/>
            <sz val="9"/>
            <color indexed="81"/>
            <rFont val="Tahoma"/>
            <family val="2"/>
          </rPr>
          <t>Usuario:</t>
        </r>
        <r>
          <rPr>
            <sz val="9"/>
            <color indexed="81"/>
            <rFont val="Tahoma"/>
            <family val="2"/>
          </rPr>
          <t xml:space="preserve">
Se ajusto formato a %</t>
        </r>
      </text>
    </comment>
    <comment ref="AD231" authorId="0" shapeId="0" xr:uid="{8DA80143-B1DC-47DE-80A3-8A47A10DA7AF}">
      <text>
        <r>
          <rPr>
            <b/>
            <sz val="9"/>
            <color indexed="81"/>
            <rFont val="Tahoma"/>
            <family val="2"/>
          </rPr>
          <t>Usuario:</t>
        </r>
        <r>
          <rPr>
            <sz val="9"/>
            <color indexed="81"/>
            <rFont val="Tahoma"/>
            <family val="2"/>
          </rPr>
          <t xml:space="preserve">
Se ajusto formato a %</t>
        </r>
      </text>
    </comment>
    <comment ref="AO231" authorId="2" shapeId="0" xr:uid="{7661F0E6-4401-495A-A2E5-05DBF0CB3BA1}">
      <text>
        <r>
          <rPr>
            <sz val="11"/>
            <color theme="1"/>
            <rFont val="Arial"/>
            <family val="2"/>
          </rPr>
          <t xml:space="preserve">Lo articulan con ODS 9
</t>
        </r>
      </text>
    </comment>
    <comment ref="AD232" authorId="0" shapeId="0" xr:uid="{813B2446-AA7A-4AA9-83D1-E48D8DB73DDB}">
      <text>
        <r>
          <rPr>
            <b/>
            <sz val="9"/>
            <color indexed="81"/>
            <rFont val="Tahoma"/>
            <family val="2"/>
          </rPr>
          <t>Usuario:</t>
        </r>
        <r>
          <rPr>
            <sz val="9"/>
            <color indexed="81"/>
            <rFont val="Tahoma"/>
            <family val="2"/>
          </rPr>
          <t xml:space="preserve">
Se ajusto formato a %</t>
        </r>
      </text>
    </comment>
    <comment ref="AO232" authorId="2" shapeId="0" xr:uid="{791EB9A5-B095-40BB-AF43-1BD1326406CA}">
      <text>
        <r>
          <rPr>
            <sz val="11"/>
            <color theme="1"/>
            <rFont val="Arial"/>
            <family val="2"/>
          </rPr>
          <t xml:space="preserve">Lo articulan con ODS 9
</t>
        </r>
      </text>
    </comment>
    <comment ref="Y233" authorId="0" shapeId="0" xr:uid="{4A432141-9D12-4710-A1AF-CA2AA78B0FE0}">
      <text>
        <r>
          <rPr>
            <b/>
            <sz val="9"/>
            <color indexed="81"/>
            <rFont val="Tahoma"/>
            <family val="2"/>
          </rPr>
          <t>Usuario:</t>
        </r>
        <r>
          <rPr>
            <sz val="9"/>
            <color indexed="81"/>
            <rFont val="Tahoma"/>
            <family val="2"/>
          </rPr>
          <t xml:space="preserve">
Revisar, no hay meta</t>
        </r>
      </text>
    </comment>
    <comment ref="AD233" authorId="0" shapeId="0" xr:uid="{5E41DB54-E4D8-4316-A105-3380C940DBB3}">
      <text>
        <r>
          <rPr>
            <b/>
            <sz val="9"/>
            <color indexed="81"/>
            <rFont val="Tahoma"/>
            <family val="2"/>
          </rPr>
          <t>Usuario:</t>
        </r>
        <r>
          <rPr>
            <sz val="9"/>
            <color indexed="81"/>
            <rFont val="Tahoma"/>
            <family val="2"/>
          </rPr>
          <t xml:space="preserve">
Se ajusto formato a %</t>
        </r>
      </text>
    </comment>
    <comment ref="AO233" authorId="2" shapeId="0" xr:uid="{6949F90F-35DD-4D60-838D-DD5345F8807D}">
      <text>
        <r>
          <rPr>
            <sz val="11"/>
            <color theme="1"/>
            <rFont val="Arial"/>
            <family val="2"/>
          </rPr>
          <t xml:space="preserve">Lo articulan con ODS 9
</t>
        </r>
      </text>
    </comment>
    <comment ref="F235" authorId="0" shapeId="0" xr:uid="{ECBD4021-B630-4154-99FD-331103932CB9}">
      <text>
        <r>
          <rPr>
            <b/>
            <sz val="9"/>
            <color indexed="81"/>
            <rFont val="Tahoma"/>
            <family val="2"/>
          </rPr>
          <t>Usuario:</t>
        </r>
        <r>
          <rPr>
            <sz val="9"/>
            <color indexed="81"/>
            <rFont val="Tahoma"/>
            <family val="2"/>
          </rPr>
          <t xml:space="preserve">
osea el 50% restante que se tenia de meta para todo el cuatrienio?</t>
        </r>
      </text>
    </comment>
    <comment ref="AO235" authorId="2" shapeId="0" xr:uid="{A9CB1E1E-EB09-4C28-AA5C-8062481C6C92}">
      <text>
        <r>
          <rPr>
            <sz val="11"/>
            <color theme="1"/>
            <rFont val="Arial"/>
            <family val="2"/>
          </rPr>
          <t xml:space="preserve">Lo articulan con ODS 9
</t>
        </r>
      </text>
    </comment>
    <comment ref="AI238" authorId="0" shapeId="0" xr:uid="{C884CF2A-BCAB-425C-8895-8C83E2368A7F}">
      <text>
        <r>
          <rPr>
            <b/>
            <sz val="9"/>
            <color indexed="81"/>
            <rFont val="Tahoma"/>
            <family val="2"/>
          </rPr>
          <t>Usuario:</t>
        </r>
        <r>
          <rPr>
            <sz val="9"/>
            <color indexed="81"/>
            <rFont val="Tahoma"/>
            <family val="2"/>
          </rPr>
          <t xml:space="preserve">
Solucionado al actualizarlo con la info del sem I del 2021</t>
        </r>
      </text>
    </comment>
    <comment ref="AO238" authorId="2" shapeId="0" xr:uid="{61B71661-742D-476F-B582-00FE9695827E}">
      <text>
        <r>
          <rPr>
            <sz val="11"/>
            <color theme="1"/>
            <rFont val="Arial"/>
            <family val="2"/>
          </rPr>
          <t xml:space="preserve">Lo articulan con ODS 9
</t>
        </r>
      </text>
    </comment>
    <comment ref="AO241" authorId="2" shapeId="0" xr:uid="{666E90E7-8C31-462A-9EB7-046EDCC4F4BA}">
      <text>
        <r>
          <rPr>
            <sz val="11"/>
            <color theme="1"/>
            <rFont val="Arial"/>
            <family val="2"/>
          </rPr>
          <t xml:space="preserve">Lo articulan con ODS 9
</t>
        </r>
      </text>
    </comment>
    <comment ref="AO244" authorId="2" shapeId="0" xr:uid="{8974AC8E-2220-4F1C-933C-A331F422D505}">
      <text>
        <r>
          <rPr>
            <sz val="11"/>
            <color theme="1"/>
            <rFont val="Arial"/>
            <family val="2"/>
          </rPr>
          <t xml:space="preserve">Lo articulan con ODS 9
</t>
        </r>
      </text>
    </comment>
    <comment ref="AO247" authorId="2" shapeId="0" xr:uid="{6787505A-61D7-4661-8499-57DD2A4032DD}">
      <text>
        <r>
          <rPr>
            <sz val="11"/>
            <color theme="1"/>
            <rFont val="Arial"/>
            <family val="2"/>
          </rPr>
          <t xml:space="preserve">Lo articulan con ODS 6,7, 11 y 12
</t>
        </r>
      </text>
    </comment>
    <comment ref="AO248" authorId="2" shapeId="0" xr:uid="{639963E0-0A38-4792-B6AA-88BCA7B5A61D}">
      <text>
        <r>
          <rPr>
            <sz val="11"/>
            <color theme="1"/>
            <rFont val="Arial"/>
            <family val="2"/>
          </rPr>
          <t xml:space="preserve">Lo articulan con ODS 6,7, 11 y 12
</t>
        </r>
      </text>
    </comment>
    <comment ref="AO249" authorId="2" shapeId="0" xr:uid="{FEF07856-5209-48AE-A8C1-5404D86F2E71}">
      <text>
        <r>
          <rPr>
            <sz val="11"/>
            <color theme="1"/>
            <rFont val="Arial"/>
            <family val="2"/>
          </rPr>
          <t xml:space="preserve">Lo articulan con ODS 6,7, 11 y 12
</t>
        </r>
      </text>
    </comment>
    <comment ref="AO252" authorId="2" shapeId="0" xr:uid="{92E50481-98A8-4760-83FA-F89BF96D0625}">
      <text>
        <r>
          <rPr>
            <sz val="11"/>
            <color theme="1"/>
            <rFont val="Arial"/>
            <family val="2"/>
          </rPr>
          <t xml:space="preserve">Lo articulan con ODS 6,9, 11,12, 14 y 15
</t>
        </r>
      </text>
    </comment>
    <comment ref="AD253" authorId="0" shapeId="0" xr:uid="{4CED2B0F-41D1-4AFF-9CFE-85AF477AAA87}">
      <text>
        <r>
          <rPr>
            <b/>
            <sz val="9"/>
            <color indexed="81"/>
            <rFont val="Tahoma"/>
            <family val="2"/>
          </rPr>
          <t>Usuario:</t>
        </r>
        <r>
          <rPr>
            <sz val="9"/>
            <color indexed="81"/>
            <rFont val="Tahoma"/>
            <family val="2"/>
          </rPr>
          <t xml:space="preserve">
Se ajusto formato a %</t>
        </r>
      </text>
    </comment>
    <comment ref="AO253" authorId="2" shapeId="0" xr:uid="{AB2AA11A-732D-44C2-9437-98460E4F145E}">
      <text>
        <r>
          <rPr>
            <sz val="11"/>
            <color theme="1"/>
            <rFont val="Arial"/>
            <family val="2"/>
          </rPr>
          <t xml:space="preserve">Lo articulan con ODS 6,9, 11,12, 14 y 15
</t>
        </r>
      </text>
    </comment>
    <comment ref="Y254" authorId="0" shapeId="0" xr:uid="{3DA359AF-37E6-4574-A0D3-30E7E18EEB1E}">
      <text>
        <r>
          <rPr>
            <b/>
            <sz val="9"/>
            <color indexed="81"/>
            <rFont val="Tahoma"/>
            <family val="2"/>
          </rPr>
          <t>Usuario:</t>
        </r>
        <r>
          <rPr>
            <sz val="9"/>
            <color indexed="81"/>
            <rFont val="Tahoma"/>
            <family val="2"/>
          </rPr>
          <t xml:space="preserve">
Revisar, no hay meta</t>
        </r>
      </text>
    </comment>
    <comment ref="AO254" authorId="2" shapeId="0" xr:uid="{726F84A6-5052-46E2-AD20-ADF2F91683B5}">
      <text>
        <r>
          <rPr>
            <sz val="11"/>
            <color theme="1"/>
            <rFont val="Arial"/>
            <family val="2"/>
          </rPr>
          <t xml:space="preserve">Lo articulan con ODS 6,9, 11,12, 14 y 15
</t>
        </r>
      </text>
    </comment>
    <comment ref="AO256" authorId="2" shapeId="0" xr:uid="{62AA1CAA-67D5-4DC7-A405-F6F82B821F9E}">
      <text>
        <r>
          <rPr>
            <sz val="11"/>
            <color theme="1"/>
            <rFont val="Arial"/>
            <family val="2"/>
          </rPr>
          <t xml:space="preserve">Lo articulan con ODS 6,9, 11,12, 14 y 15
</t>
        </r>
      </text>
    </comment>
    <comment ref="AD258" authorId="0" shapeId="0" xr:uid="{C380A262-2CE1-4F6E-8F4C-4CDBDF400CC4}">
      <text>
        <r>
          <rPr>
            <b/>
            <sz val="9"/>
            <color indexed="81"/>
            <rFont val="Tahoma"/>
            <family val="2"/>
          </rPr>
          <t>Usuario:</t>
        </r>
        <r>
          <rPr>
            <sz val="9"/>
            <color indexed="81"/>
            <rFont val="Tahoma"/>
            <family val="2"/>
          </rPr>
          <t xml:space="preserve">
Se ajusto formato a %</t>
        </r>
      </text>
    </comment>
    <comment ref="AO258" authorId="2" shapeId="0" xr:uid="{66663AA9-DCED-4738-B206-83DB5F2C6B6A}">
      <text>
        <r>
          <rPr>
            <sz val="11"/>
            <color theme="1"/>
            <rFont val="Arial"/>
            <family val="2"/>
          </rPr>
          <t xml:space="preserve">Lo articulan con ODS 6,9, 11,12, 14 y 15
</t>
        </r>
      </text>
    </comment>
    <comment ref="AO259" authorId="2" shapeId="0" xr:uid="{8603D001-D263-47D5-AE01-11D9374B81B8}">
      <text>
        <r>
          <rPr>
            <sz val="11"/>
            <color theme="1"/>
            <rFont val="Arial"/>
            <family val="2"/>
          </rPr>
          <t xml:space="preserve">Lo articulan con ODS 6,9, 11,12, 14 y 15
</t>
        </r>
      </text>
    </comment>
    <comment ref="W260" authorId="0" shapeId="0" xr:uid="{E42CB72E-D709-4D2E-BA1E-6C8008AA7F0C}">
      <text>
        <r>
          <rPr>
            <b/>
            <sz val="9"/>
            <color indexed="81"/>
            <rFont val="Tahoma"/>
            <family val="2"/>
          </rPr>
          <t>Usuario:</t>
        </r>
        <r>
          <rPr>
            <sz val="9"/>
            <color indexed="81"/>
            <rFont val="Tahoma"/>
            <family val="2"/>
          </rPr>
          <t xml:space="preserve">
Ajustado por incporporación programa deficit</t>
        </r>
      </text>
    </comment>
    <comment ref="AD260" authorId="0" shapeId="0" xr:uid="{1D50A527-B28F-4292-B6B4-68C2D1F12574}">
      <text>
        <r>
          <rPr>
            <b/>
            <sz val="9"/>
            <color indexed="81"/>
            <rFont val="Tahoma"/>
            <family val="2"/>
          </rPr>
          <t>Usuario:</t>
        </r>
        <r>
          <rPr>
            <sz val="9"/>
            <color indexed="81"/>
            <rFont val="Tahoma"/>
            <family val="2"/>
          </rPr>
          <t xml:space="preserve">
Se ajusto formato a %</t>
        </r>
      </text>
    </comment>
    <comment ref="AO262" authorId="2" shapeId="0" xr:uid="{BA606E4C-0338-4072-8E8D-B229DD2CA4F7}">
      <text>
        <r>
          <rPr>
            <sz val="11"/>
            <color theme="1"/>
            <rFont val="Arial"/>
            <family val="2"/>
          </rPr>
          <t xml:space="preserve">Lo articulan con ODS 3, 8,9, 12, y 16
</t>
        </r>
      </text>
    </comment>
    <comment ref="Z264" authorId="0" shapeId="0" xr:uid="{5FE78F74-A324-4C7C-BE31-05C13AE4A8F4}">
      <text>
        <r>
          <rPr>
            <b/>
            <sz val="9"/>
            <color indexed="81"/>
            <rFont val="Tahoma"/>
            <family val="2"/>
          </rPr>
          <t>Usuario:</t>
        </r>
        <r>
          <rPr>
            <sz val="9"/>
            <color indexed="81"/>
            <rFont val="Tahoma"/>
            <family val="2"/>
          </rPr>
          <t xml:space="preserve">
No tenian meta definida</t>
        </r>
      </text>
    </comment>
    <comment ref="AD267" authorId="0" shapeId="0" xr:uid="{892B52A0-F4DA-4572-81D3-BC1DFB4C8533}">
      <text>
        <r>
          <rPr>
            <b/>
            <sz val="9"/>
            <color indexed="81"/>
            <rFont val="Tahoma"/>
            <family val="2"/>
          </rPr>
          <t>Usuario:</t>
        </r>
        <r>
          <rPr>
            <sz val="9"/>
            <color indexed="81"/>
            <rFont val="Tahoma"/>
            <family val="2"/>
          </rPr>
          <t xml:space="preserve">
Se ajusto formato a %</t>
        </r>
      </text>
    </comment>
    <comment ref="AO267" authorId="2" shapeId="0" xr:uid="{63D15FE1-013C-42FC-BFED-ECB5572A8D0E}">
      <text>
        <r>
          <rPr>
            <sz val="11"/>
            <color theme="1"/>
            <rFont val="Arial"/>
            <family val="2"/>
          </rPr>
          <t xml:space="preserve">Lo articulan con ODS 3, 8,9, 12, y 16
</t>
        </r>
      </text>
    </comment>
    <comment ref="AD268" authorId="0" shapeId="0" xr:uid="{FF6B4D05-CFBC-49D4-95E0-3460EADF3F06}">
      <text>
        <r>
          <rPr>
            <b/>
            <sz val="9"/>
            <color indexed="81"/>
            <rFont val="Tahoma"/>
            <family val="2"/>
          </rPr>
          <t>Usuario:</t>
        </r>
        <r>
          <rPr>
            <sz val="9"/>
            <color indexed="81"/>
            <rFont val="Tahoma"/>
            <family val="2"/>
          </rPr>
          <t xml:space="preserve">
Se ajusto formato a %</t>
        </r>
      </text>
    </comment>
    <comment ref="Y269" authorId="2" shapeId="0" xr:uid="{2EEBCAB3-CC23-4721-848B-BF430A30BED1}">
      <text>
        <r>
          <rPr>
            <sz val="11"/>
            <color theme="1"/>
            <rFont val="Arial"/>
            <family val="2"/>
          </rPr>
          <t>Revisar, no hay meta definida para este año</t>
        </r>
      </text>
    </comment>
    <comment ref="AD269" authorId="0" shapeId="0" xr:uid="{3306166E-33DF-4ABF-A9FF-C06A94C7760D}">
      <text>
        <r>
          <rPr>
            <b/>
            <sz val="9"/>
            <color indexed="81"/>
            <rFont val="Tahoma"/>
            <family val="2"/>
          </rPr>
          <t>Usuario:</t>
        </r>
        <r>
          <rPr>
            <sz val="9"/>
            <color indexed="81"/>
            <rFont val="Tahoma"/>
            <family val="2"/>
          </rPr>
          <t xml:space="preserve">
Se ajusto formato a %</t>
        </r>
      </text>
    </comment>
    <comment ref="AO269" authorId="2" shapeId="0" xr:uid="{610A60B2-B960-4ABB-AB2C-679AE40E30C4}">
      <text>
        <r>
          <rPr>
            <sz val="11"/>
            <color theme="1"/>
            <rFont val="Arial"/>
            <family val="2"/>
          </rPr>
          <t xml:space="preserve">Lo articulan con ODS 3, 8,9, 12, y 16
</t>
        </r>
      </text>
    </comment>
    <comment ref="AD272" authorId="0" shapeId="0" xr:uid="{064DF129-7A1B-4C11-B22B-8CA41335E607}">
      <text>
        <r>
          <rPr>
            <b/>
            <sz val="9"/>
            <color indexed="81"/>
            <rFont val="Tahoma"/>
            <family val="2"/>
          </rPr>
          <t>Usuario:</t>
        </r>
        <r>
          <rPr>
            <sz val="9"/>
            <color indexed="81"/>
            <rFont val="Tahoma"/>
            <family val="2"/>
          </rPr>
          <t xml:space="preserve">
Se ajusto formato a %</t>
        </r>
      </text>
    </comment>
    <comment ref="AO272" authorId="2" shapeId="0" xr:uid="{502FA428-92C9-49D3-96BB-C0BC943E076F}">
      <text>
        <r>
          <rPr>
            <sz val="11"/>
            <color theme="1"/>
            <rFont val="Arial"/>
            <family val="2"/>
          </rPr>
          <t xml:space="preserve">Articulan con ODS 16
</t>
        </r>
      </text>
    </comment>
    <comment ref="AD273" authorId="0" shapeId="0" xr:uid="{166FCAAC-BE8B-46DA-9378-A189D7559483}">
      <text>
        <r>
          <rPr>
            <b/>
            <sz val="9"/>
            <color indexed="81"/>
            <rFont val="Tahoma"/>
            <family val="2"/>
          </rPr>
          <t>Usuario:</t>
        </r>
        <r>
          <rPr>
            <sz val="9"/>
            <color indexed="81"/>
            <rFont val="Tahoma"/>
            <family val="2"/>
          </rPr>
          <t xml:space="preserve">
Se ajusto formato a %</t>
        </r>
      </text>
    </comment>
    <comment ref="AO273" authorId="2" shapeId="0" xr:uid="{3677087C-D39C-4BBA-B4C8-AF20B05F507C}">
      <text>
        <r>
          <rPr>
            <sz val="11"/>
            <color theme="1"/>
            <rFont val="Arial"/>
            <family val="2"/>
          </rPr>
          <t xml:space="preserve">Articulan con ODS 16
</t>
        </r>
      </text>
    </comment>
    <comment ref="AO274" authorId="2" shapeId="0" xr:uid="{11B45827-3C2B-47F4-8AA8-1EF472C69883}">
      <text>
        <r>
          <rPr>
            <sz val="11"/>
            <color theme="1"/>
            <rFont val="Arial"/>
            <family val="2"/>
          </rPr>
          <t xml:space="preserve">Articulan con ODS 16
</t>
        </r>
      </text>
    </comment>
    <comment ref="AO277" authorId="2" shapeId="0" xr:uid="{F62C9D28-5773-43DA-AA63-35B901617BEE}">
      <text>
        <r>
          <rPr>
            <sz val="11"/>
            <color theme="1"/>
            <rFont val="Arial"/>
            <family val="2"/>
          </rPr>
          <t xml:space="preserve">Articulan con ODS 16
</t>
        </r>
      </text>
    </comment>
    <comment ref="AO280" authorId="2" shapeId="0" xr:uid="{A95CBFF3-8A4F-45E6-A865-A744870AA02A}">
      <text>
        <r>
          <rPr>
            <sz val="11"/>
            <color theme="1"/>
            <rFont val="Arial"/>
            <family val="2"/>
          </rPr>
          <t xml:space="preserve">Articulan con ODS 16
</t>
        </r>
      </text>
    </comment>
    <comment ref="AO281" authorId="2" shapeId="0" xr:uid="{7C13EA73-D86C-4D16-9BDA-27898134A234}">
      <text>
        <r>
          <rPr>
            <sz val="11"/>
            <color theme="1"/>
            <rFont val="Arial"/>
            <family val="2"/>
          </rPr>
          <t xml:space="preserve">Articulan con ODS 16
</t>
        </r>
      </text>
    </comment>
    <comment ref="AO283" authorId="2" shapeId="0" xr:uid="{77C068C2-38D3-4BC3-9DC2-0F5A20ABBEEA}">
      <text>
        <r>
          <rPr>
            <sz val="11"/>
            <color theme="1"/>
            <rFont val="Arial"/>
            <family val="2"/>
          </rPr>
          <t xml:space="preserve">Articulan con ODS 16
</t>
        </r>
      </text>
    </comment>
    <comment ref="AO285" authorId="2" shapeId="0" xr:uid="{17FC5E5A-F1F2-4797-A2CE-AB63948C7B37}">
      <text>
        <r>
          <rPr>
            <sz val="11"/>
            <color theme="1"/>
            <rFont val="Arial"/>
            <family val="2"/>
          </rPr>
          <t xml:space="preserve">Articulan con ODS 16
</t>
        </r>
      </text>
    </comment>
    <comment ref="AD286" authorId="0" shapeId="0" xr:uid="{3D0253BB-8A5A-4D61-8FAF-8E4030255EED}">
      <text>
        <r>
          <rPr>
            <b/>
            <sz val="9"/>
            <color indexed="81"/>
            <rFont val="Tahoma"/>
            <family val="2"/>
          </rPr>
          <t>Usuario:</t>
        </r>
        <r>
          <rPr>
            <sz val="9"/>
            <color indexed="81"/>
            <rFont val="Tahoma"/>
            <family val="2"/>
          </rPr>
          <t xml:space="preserve">
Se ajusta formato a %</t>
        </r>
      </text>
    </comment>
    <comment ref="AD287" authorId="0" shapeId="0" xr:uid="{32A41C7C-47BE-4E44-9C12-5CA02A93B889}">
      <text>
        <r>
          <rPr>
            <b/>
            <sz val="9"/>
            <color indexed="81"/>
            <rFont val="Tahoma"/>
            <family val="2"/>
          </rPr>
          <t>Usuario:</t>
        </r>
        <r>
          <rPr>
            <sz val="9"/>
            <color indexed="81"/>
            <rFont val="Tahoma"/>
            <family val="2"/>
          </rPr>
          <t xml:space="preserve">
Se ajusta formato a %</t>
        </r>
      </text>
    </comment>
    <comment ref="AD288" authorId="0" shapeId="0" xr:uid="{452FEF89-DBD6-4A39-A1C8-C3AD542FA5F7}">
      <text>
        <r>
          <rPr>
            <b/>
            <sz val="9"/>
            <color indexed="81"/>
            <rFont val="Tahoma"/>
            <family val="2"/>
          </rPr>
          <t>Usuario:</t>
        </r>
        <r>
          <rPr>
            <sz val="9"/>
            <color indexed="81"/>
            <rFont val="Tahoma"/>
            <family val="2"/>
          </rPr>
          <t xml:space="preserve">
Se ajusta formato a %</t>
        </r>
      </text>
    </comment>
    <comment ref="AO288" authorId="2" shapeId="0" xr:uid="{755E01A4-6B14-44A0-95C6-DB7A694F99CF}">
      <text>
        <r>
          <rPr>
            <sz val="11"/>
            <color theme="1"/>
            <rFont val="Arial"/>
            <family val="2"/>
          </rPr>
          <t xml:space="preserve">articulado con ODS 7 y 11
</t>
        </r>
      </text>
    </comment>
    <comment ref="AD289" authorId="0" shapeId="0" xr:uid="{8AB5E45B-FFA4-45BF-9BB3-0AAA64831178}">
      <text>
        <r>
          <rPr>
            <b/>
            <sz val="9"/>
            <color indexed="81"/>
            <rFont val="Tahoma"/>
            <family val="2"/>
          </rPr>
          <t>Usuario:</t>
        </r>
        <r>
          <rPr>
            <sz val="9"/>
            <color indexed="81"/>
            <rFont val="Tahoma"/>
            <family val="2"/>
          </rPr>
          <t xml:space="preserve">
Se ajusta formato a %</t>
        </r>
      </text>
    </comment>
    <comment ref="AO290" authorId="2" shapeId="0" xr:uid="{62822E1E-F06F-45C2-84CC-95C1AA380957}">
      <text>
        <r>
          <rPr>
            <sz val="11"/>
            <color theme="1"/>
            <rFont val="Arial"/>
            <family val="2"/>
          </rPr>
          <t xml:space="preserve">articulado con ODS 3,8, 9 y 16
</t>
        </r>
      </text>
    </comment>
    <comment ref="AD291" authorId="0" shapeId="0" xr:uid="{98AC40FC-9680-4827-9FDA-B92D169CAD58}">
      <text>
        <r>
          <rPr>
            <b/>
            <sz val="9"/>
            <color indexed="81"/>
            <rFont val="Tahoma"/>
            <family val="2"/>
          </rPr>
          <t>Usuario:</t>
        </r>
        <r>
          <rPr>
            <sz val="9"/>
            <color indexed="81"/>
            <rFont val="Tahoma"/>
            <family val="2"/>
          </rPr>
          <t xml:space="preserve">
Se ajusta formato a %</t>
        </r>
      </text>
    </comment>
    <comment ref="AO291" authorId="2" shapeId="0" xr:uid="{17ED4E91-381C-4BEC-B2EB-C2056820BE64}">
      <text>
        <r>
          <rPr>
            <sz val="11"/>
            <color theme="1"/>
            <rFont val="Arial"/>
            <family val="2"/>
          </rPr>
          <t xml:space="preserve">articulado con ODS 3,8, 9 y 16
</t>
        </r>
      </text>
    </comment>
    <comment ref="AO292" authorId="2" shapeId="0" xr:uid="{ADE5E5EB-3DE6-4C6E-879F-AFEB775481AF}">
      <text>
        <r>
          <rPr>
            <sz val="11"/>
            <color theme="1"/>
            <rFont val="Arial"/>
            <family val="2"/>
          </rPr>
          <t xml:space="preserve">articulado con ODS 3,8, 9 y 16
</t>
        </r>
      </text>
    </comment>
    <comment ref="Z296" authorId="0" shapeId="0" xr:uid="{D0ED5CE1-8E9E-427D-B79D-6B3CBCFBC3C3}">
      <text>
        <r>
          <rPr>
            <b/>
            <sz val="9"/>
            <color indexed="81"/>
            <rFont val="Tahoma"/>
            <family val="2"/>
          </rPr>
          <t>Usuario:</t>
        </r>
        <r>
          <rPr>
            <sz val="9"/>
            <color indexed="81"/>
            <rFont val="Tahoma"/>
            <family val="2"/>
          </rPr>
          <t xml:space="preserve">
No se habia sumado lo del deficit de vigencia</t>
        </r>
      </text>
    </comment>
    <comment ref="AF296" authorId="0" shapeId="0" xr:uid="{EE425890-4B0F-447D-B51C-64E772012DB7}">
      <text>
        <r>
          <rPr>
            <b/>
            <sz val="9"/>
            <color indexed="81"/>
            <rFont val="Tahoma"/>
            <family val="2"/>
          </rPr>
          <t>Usuario:</t>
        </r>
        <r>
          <rPr>
            <sz val="9"/>
            <color indexed="81"/>
            <rFont val="Tahoma"/>
            <family val="2"/>
          </rPr>
          <t xml:space="preserve">
Informe 2020: 19.669.219.081,06</t>
        </r>
      </text>
    </comment>
  </commentList>
</comments>
</file>

<file path=xl/sharedStrings.xml><?xml version="1.0" encoding="utf-8"?>
<sst xmlns="http://schemas.openxmlformats.org/spreadsheetml/2006/main" count="5840" uniqueCount="1525">
  <si>
    <t>Dependencia</t>
  </si>
  <si>
    <t>Cargo</t>
  </si>
  <si>
    <t>Correo electrónico</t>
  </si>
  <si>
    <t>Teléfono</t>
  </si>
  <si>
    <t>Porcentaje de cuerpos de agua con planes de ordenamiento del recurso hídrico (PORH) adoptados</t>
  </si>
  <si>
    <t>Porcentaje de Planes de Saneamiento y Manejo de Vertimientos (PSMV) con seguimiento</t>
  </si>
  <si>
    <t>Porcentaje de cuerpos de agua con reglamentación del uso de las aguas</t>
  </si>
  <si>
    <t>Porcentaje de Programas de Uso Eficiente y Ahorro del Agua (PUEAA) con seguimiento</t>
  </si>
  <si>
    <t>Porcentaje de Planes de Ordenación y Manejo de Cuencas (POMCAS), Planes de Manejo de Acuíferos (PMA) y Planes de Manejo de Microcuencas (PMM) en ejecución</t>
  </si>
  <si>
    <t>Porcentaje de entes territoriales asesorados en la incorporación, planificación y ejecución de acciones relacionadas con cambio climático en el marco de los instrumentos de planificación territorial</t>
  </si>
  <si>
    <t>Porcentaje de suelos degradados en recuperación o rehabilitación</t>
  </si>
  <si>
    <t>Porcentaje de la superficie de áreas protegidas regionales declaradas, homologadas o recategorizadas, inscritas en el RUNAP</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</si>
  <si>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</si>
  <si>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</si>
  <si>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</si>
  <si>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</si>
  <si>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</si>
  <si>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Número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</si>
  <si>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</si>
  <si>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</si>
  <si>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</si>
  <si>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</si>
  <si>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</si>
  <si>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</si>
  <si>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</si>
  <si>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</si>
  <si>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</si>
  <si>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</si>
  <si>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</si>
  <si>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</si>
  <si>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</si>
  <si>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Porcentaje de avance en la formulación y/o ajuste de los Planes de Ordenación y Manejo de Cuencas (POMCAS), Planes de Manejo de Acuíferos (PMA) y Planes de Manejo de Microcuencas (PMM)</t>
  </si>
  <si>
    <t>COMPORTAMIENTO META FISICA 
PLAN DE ACCION</t>
  </si>
  <si>
    <t xml:space="preserve">(5)
PORCENTAJE DE AVANCE 
FISICO %
(Periodo Evaluado)
((4/3)*100)
</t>
  </si>
  <si>
    <t>(5-A) DESCRIPCIÓN DEL AVANCE 
(Se puede describir en texto lo que se desea aclarar del avance númerico respectivo)</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</si>
  <si>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</si>
  <si>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</si>
  <si>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ANEXO No. 2.PROTOCOLO O GUÍA DE DILIGENCIAMIENTO</t>
  </si>
  <si>
    <t xml:space="preserve">MATRIZ DE SEGUIMIENTO A LA GESTIÓN Y DE AVANCE EN LAS METAS FÍSICAS Y FINANCIERAS DEL PLAN DE ACCIÓN </t>
  </si>
  <si>
    <t xml:space="preserve">ITEM </t>
  </si>
  <si>
    <t>DEFINICIONES</t>
  </si>
  <si>
    <t>(2) UNIDAD DE MEDIDA</t>
  </si>
  <si>
    <t>(3) META FÍSICA ANUAL</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</si>
  <si>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</si>
  <si>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</si>
  <si>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Cuando el avance de la meta física prevista para cada proyecto no es cuantificable, 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</si>
  <si>
    <t>Identifique el valor  (en numero) de la meta del plan de acción con relación al programa y/o proyecto reportado en la columna (1). Ejemplo: hectáreas reforestadas, microcuencas con plan de ordenamiento formulado, # de vertimientos reglamentados, etc.</t>
  </si>
  <si>
    <t xml:space="preserve">Relacione aquí de acuerdo al plan de inversión vigente (incluye adiciones o modificaciones) los montos de inversión anual previstos para cada programa o proyecto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</si>
  <si>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</si>
  <si>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Realice las respectivas observaciones que sean necesarias, principalmente cuando se requiera hacer alguna precisión sobre el avance de las metas físicas y financieras..</t>
  </si>
  <si>
    <t>NIVEL RENTISTICO</t>
  </si>
  <si>
    <t>Multas y sanciones</t>
  </si>
  <si>
    <t>Donaciones</t>
  </si>
  <si>
    <t>CONCEPTO</t>
  </si>
  <si>
    <t>GASTOS DE PERSONAL</t>
  </si>
  <si>
    <t>TRANSFERENCIAS CORRIENTES</t>
  </si>
  <si>
    <t>SENTENCIAS Y CONCILIACIONES</t>
  </si>
  <si>
    <t>Nombre de la Corporación</t>
  </si>
  <si>
    <t>Corporación Autónoma Regional del Alto Magdalena - CAM</t>
  </si>
  <si>
    <t>Corporación Autónoma Regional de Cundinamarca – CAR</t>
  </si>
  <si>
    <t>Corporación Autónoma Regional del Canal del Dique – CARDIQUE</t>
  </si>
  <si>
    <t>Corporación Autónoma Regional de Sucre – CARSUCRE</t>
  </si>
  <si>
    <t>Corporación Autónoma Regional de Santander – CAS</t>
  </si>
  <si>
    <t>Corporación para el Desarrollo Sostenible del Norte y el Oriente Amazónico – CDA</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</si>
  <si>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</si>
  <si>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</si>
  <si>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</si>
  <si>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</si>
  <si>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</si>
  <si>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</si>
  <si>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</si>
  <si>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</si>
  <si>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</si>
  <si>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</si>
  <si>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</si>
  <si>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</si>
  <si>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</si>
  <si>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</si>
  <si>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</si>
  <si>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</si>
  <si>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</si>
  <si>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</si>
  <si>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</si>
  <si>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</si>
  <si>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</si>
  <si>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</si>
  <si>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</si>
  <si>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</si>
  <si>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</si>
  <si>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</si>
  <si>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</si>
  <si>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</si>
  <si>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</si>
  <si>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</si>
  <si>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</si>
  <si>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</si>
  <si>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</si>
  <si>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</si>
  <si>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Periodo a reportar</t>
  </si>
  <si>
    <t>Nombre de la persona responsable del reporte</t>
  </si>
  <si>
    <t xml:space="preserve">MATRIZ DE SEGUIMIENTO DEL PLAN DE ACCIÓN
ANEXO No. 1. AVANCE EN LAS METAS FÍSICAS Y FINANCIERAS DEL PLAN DE ACCIÓN  </t>
  </si>
  <si>
    <t>PERIODO REPORTADO:</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</si>
  <si>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</si>
  <si>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</si>
  <si>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</si>
  <si>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</si>
  <si>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</si>
  <si>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</si>
  <si>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</si>
  <si>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</si>
  <si>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</si>
  <si>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</si>
  <si>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</si>
  <si>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</si>
  <si>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</si>
  <si>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SUBNIVEL RENTISTICO</t>
  </si>
  <si>
    <t>NIVEL 1</t>
  </si>
  <si>
    <t>NIVEL 2</t>
  </si>
  <si>
    <t>NIVEL 3</t>
  </si>
  <si>
    <t>NIVEL 4</t>
  </si>
  <si>
    <t>NIVEL 5</t>
  </si>
  <si>
    <t>(4)
ADICIÓN</t>
  </si>
  <si>
    <t>(5)
REDUCCIÓN</t>
  </si>
  <si>
    <t>(7)
FUNCIONAMIENTO</t>
  </si>
  <si>
    <t>(8)
INVERSIÓN</t>
  </si>
  <si>
    <t>(9)
FCA</t>
  </si>
  <si>
    <t>(10)
SERVICIO A LA DEUDA</t>
  </si>
  <si>
    <t>1</t>
  </si>
  <si>
    <t>Ingresos</t>
  </si>
  <si>
    <t>01</t>
  </si>
  <si>
    <t>Ingresos Corrientes</t>
  </si>
  <si>
    <t>Ingresos tributarios</t>
  </si>
  <si>
    <t>Impuestos directos</t>
  </si>
  <si>
    <t>Sobretasa ambiental - Peajes</t>
  </si>
  <si>
    <t>02</t>
  </si>
  <si>
    <t>Ingresos no tributarios</t>
  </si>
  <si>
    <t>Contribuciones</t>
  </si>
  <si>
    <t>Contribuciones diversas</t>
  </si>
  <si>
    <t>Contribución sector eléctrico</t>
  </si>
  <si>
    <t>03</t>
  </si>
  <si>
    <t>04</t>
  </si>
  <si>
    <t>Tasas y derechos administrativos</t>
  </si>
  <si>
    <t>Tasa retributiva</t>
  </si>
  <si>
    <t>Tasa por el uso del agua</t>
  </si>
  <si>
    <t>05</t>
  </si>
  <si>
    <t>06</t>
  </si>
  <si>
    <t>07</t>
  </si>
  <si>
    <t>08</t>
  </si>
  <si>
    <t>Multas, sanciones e intereses de mora</t>
  </si>
  <si>
    <t>Multas ambientales</t>
  </si>
  <si>
    <t>Intereses de mora</t>
  </si>
  <si>
    <t>Venta de bienes y servicios</t>
  </si>
  <si>
    <t>Ventas de establecimientos de mercado</t>
  </si>
  <si>
    <t>Agricultura, silvicultura y productos de la pesca</t>
  </si>
  <si>
    <t>Productos metálicos, maquinaria y equipo</t>
  </si>
  <si>
    <t>Transferencias corrientes</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</si>
  <si>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</si>
  <si>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</si>
  <si>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</si>
  <si>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</si>
  <si>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</si>
  <si>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</si>
  <si>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</si>
  <si>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</si>
  <si>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</si>
  <si>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</si>
  <si>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</si>
  <si>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</si>
  <si>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</si>
  <si>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Recursos de capital</t>
  </si>
  <si>
    <t>Disposición de activos</t>
  </si>
  <si>
    <t>Disposición de activos no financieros</t>
  </si>
  <si>
    <t>Disposición de activos fijos</t>
  </si>
  <si>
    <t>Disposición de edificaciones y estructuras</t>
  </si>
  <si>
    <t>Disposición de maquinaria y equipo</t>
  </si>
  <si>
    <t>Disposición de otros activos fijos</t>
  </si>
  <si>
    <t>Disposición de productos de la propiedad intelectual</t>
  </si>
  <si>
    <t>Disposición de activos no producidos</t>
  </si>
  <si>
    <t>Disposición de  tierras y terrenos</t>
  </si>
  <si>
    <t>Rendimientos financieros</t>
  </si>
  <si>
    <t>09</t>
  </si>
  <si>
    <t>10</t>
  </si>
  <si>
    <t>11</t>
  </si>
  <si>
    <t>12</t>
  </si>
  <si>
    <t>Recursos de crédito externo</t>
  </si>
  <si>
    <t>Recursos de contratos de empréstitos externos</t>
  </si>
  <si>
    <t>Bancos comerciales</t>
  </si>
  <si>
    <t>Entidades de fomento</t>
  </si>
  <si>
    <t>Recursos de crédito interno</t>
  </si>
  <si>
    <t>Recursos de contratos de empréstitos internos</t>
  </si>
  <si>
    <t>Colocación y títulos TES clase B a corto plazo</t>
  </si>
  <si>
    <t>Colocación y títulos TES clase B a largo plazo</t>
  </si>
  <si>
    <t>Indemnizaciones relacionadas con seguros no de vida</t>
  </si>
  <si>
    <t>13</t>
  </si>
  <si>
    <t>14</t>
  </si>
  <si>
    <t>Recuperación cuotas partes pensionales</t>
  </si>
  <si>
    <t>Recursos del balance</t>
  </si>
  <si>
    <t xml:space="preserve"> INFORME DE EJECUCION PRESUPUESTAL DE INGRESOS </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</si>
  <si>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</si>
  <si>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</si>
  <si>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</si>
  <si>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</si>
  <si>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</si>
  <si>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</si>
  <si>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</si>
  <si>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</si>
  <si>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</si>
  <si>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</si>
  <si>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</si>
  <si>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2</t>
  </si>
  <si>
    <t>GASTOS DE FUNCIONAMIENTO</t>
  </si>
  <si>
    <t>ADQUISICIÓN DE BIENES Y SERVICIOS</t>
  </si>
  <si>
    <t>Adquisición de activos no financieros</t>
  </si>
  <si>
    <t>Adquisiciones diferentes de activos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</si>
  <si>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</si>
  <si>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</si>
  <si>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</si>
  <si>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</si>
  <si>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</si>
  <si>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</si>
  <si>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</si>
  <si>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</si>
  <si>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</si>
  <si>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</si>
  <si>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</si>
  <si>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Comisiones y otros gastos</t>
  </si>
  <si>
    <t>Conciliaciones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</si>
  <si>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</si>
  <si>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</si>
  <si>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</si>
  <si>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</si>
  <si>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</si>
  <si>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</si>
  <si>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</si>
  <si>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</si>
  <si>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</si>
  <si>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</si>
  <si>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</si>
  <si>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</si>
  <si>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</si>
  <si>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</si>
  <si>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</si>
  <si>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</si>
  <si>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</si>
  <si>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t>CONCEPTO 
(2)</t>
  </si>
  <si>
    <t>Reporte el avance acumulado en la vigencia del Plan de Acción, desde su aprobación hasta el periodo del informe.  Ejemplo $100'000.000.oo (2020) + $150'000.000.oo (2021), da un acumulado de inversión del Plan de Acción de $250'000.000.oo</t>
  </si>
  <si>
    <t>ANEXOS INFORME DE SEGUIMIENTO AL PLAN DE ACCIÓN 2020-2023</t>
  </si>
  <si>
    <t>Relacione aquí de acuerdo al plan de inversión del Plan de Acción  los montos de inversión previstos para cada programa o proyecto para los cuatro años. (incluye adiciones o modificaciones).</t>
  </si>
  <si>
    <t xml:space="preserve">(5-A) DESCRIPCIÓN DEL AVANCE </t>
  </si>
  <si>
    <t>Reporte el avance acumulado de la meta física que se obtenga desde la aprobación del Plan de Acción, incluyendo el periodo evaluado.  Ejemplo 100 Ha reforestadas (2020), más 140 Ha reforestadas (2021), para un acumulado de 240 Ha (2020+2021)</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</si>
  <si>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</si>
  <si>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</si>
  <si>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</si>
  <si>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</si>
  <si>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</si>
  <si>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</si>
  <si>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</si>
  <si>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</si>
  <si>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</si>
  <si>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</si>
  <si>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</si>
  <si>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</si>
  <si>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</si>
  <si>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</si>
  <si>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</si>
  <si>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</si>
  <si>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</si>
  <si>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</si>
  <si>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</si>
  <si>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</si>
  <si>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</si>
  <si>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</si>
  <si>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</si>
  <si>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</si>
  <si>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</si>
  <si>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</si>
  <si>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</si>
  <si>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</si>
  <si>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</si>
  <si>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</si>
  <si>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</si>
  <si>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</si>
  <si>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</si>
  <si>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</si>
  <si>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</si>
  <si>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</si>
  <si>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</si>
  <si>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</si>
  <si>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</si>
  <si>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</si>
  <si>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</si>
  <si>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</si>
  <si>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</si>
  <si>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</si>
  <si>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</si>
  <si>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</si>
  <si>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</si>
  <si>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</si>
  <si>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</si>
  <si>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</si>
  <si>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3208 – Educación Ambiental.</t>
  </si>
  <si>
    <t>3299 – Fortalecimiento de la gestión y dirección del Sector Ambiente y Desarrollo Sostenible.</t>
  </si>
  <si>
    <t>No Aplica</t>
  </si>
  <si>
    <t>2020-I</t>
  </si>
  <si>
    <t>2020-II</t>
  </si>
  <si>
    <t>2021-I</t>
  </si>
  <si>
    <t>2021-II</t>
  </si>
  <si>
    <t>2022-I</t>
  </si>
  <si>
    <t>2022-II</t>
  </si>
  <si>
    <t>2023-I</t>
  </si>
  <si>
    <t>2023-II</t>
  </si>
  <si>
    <t>2024-I</t>
  </si>
  <si>
    <t>2024-II</t>
  </si>
  <si>
    <t>2025-I</t>
  </si>
  <si>
    <t>2025-II</t>
  </si>
  <si>
    <t>Corporación Autónoma Regional de Risaralda – CARDER</t>
  </si>
  <si>
    <t>Relacione aquí los recursos obligados a corte del reporte, los recursos obligadoss son aquellos que presupuestalmente son reconocidos para pago estos recursos pueden generarse el pago efectivo o quedan en cuentas por pagar.</t>
  </si>
  <si>
    <t>(4A)
AVANCE DEL REZAGO DE LA META
FISICA 
(Según unidad de medida y Periodo Evaluado)</t>
  </si>
  <si>
    <t>(4)
AVANCE DE LA META
FISICA  
(Según unidad de medida y Periodo Evaluado)</t>
  </si>
  <si>
    <t xml:space="preserve">Objetivo. </t>
  </si>
  <si>
    <t>Producto</t>
  </si>
  <si>
    <t>Actividad</t>
  </si>
  <si>
    <t>Linea Estratégica</t>
  </si>
  <si>
    <t>Programa</t>
  </si>
  <si>
    <t>Proyecto</t>
  </si>
  <si>
    <r>
      <t xml:space="preserve">TOTAL GASTOS DE INVERSIÓN </t>
    </r>
    <r>
      <rPr>
        <b/>
        <sz val="10"/>
        <color rgb="FFFF0000"/>
        <rFont val="Arial Narrow"/>
        <family val="2"/>
      </rPr>
      <t>(inserte filas cuando sea necesario)</t>
    </r>
  </si>
  <si>
    <t xml:space="preserve">Proyecto </t>
  </si>
  <si>
    <t>COD. FUENTE</t>
  </si>
  <si>
    <t xml:space="preserve">TIPO DE EVIDENCIA </t>
  </si>
  <si>
    <t>ESTADO CTO</t>
  </si>
  <si>
    <t>1153- En ejecución</t>
  </si>
  <si>
    <t>1154- Liquidado</t>
  </si>
  <si>
    <t>1155- En reserva</t>
  </si>
  <si>
    <t xml:space="preserve">1201- Saldo a Favor </t>
  </si>
  <si>
    <t>SCRIP</t>
  </si>
  <si>
    <t>(3)META FISICA ANUAL
 (Según unidad de medida)</t>
  </si>
  <si>
    <t xml:space="preserve">   (2) UNIDAD DE MEDIDA</t>
  </si>
  <si>
    <t>Personal</t>
  </si>
  <si>
    <t>ACCIONES DE FUNCIONAMIENTO</t>
  </si>
  <si>
    <t>Bienes y Servicios</t>
  </si>
  <si>
    <t>Transferencia</t>
  </si>
  <si>
    <t>contract</t>
  </si>
  <si>
    <t>funcionting</t>
  </si>
  <si>
    <t xml:space="preserve">(6) FECHA DE EJECUCION DE  LA EVIDENCIA </t>
  </si>
  <si>
    <t xml:space="preserve">(7) TIPO DE EVIDENCIA </t>
  </si>
  <si>
    <t>(7-A) ACCIONES DE FUNCIONAMIENTO</t>
  </si>
  <si>
    <t>(7-B) ESTADO CONTRATO</t>
  </si>
  <si>
    <t>(7-B.1) N° CONTRATO</t>
  </si>
  <si>
    <t>(8) VALOR</t>
  </si>
  <si>
    <t>(8-A) PAGO DEL CONTRATO</t>
  </si>
  <si>
    <t>(8-B) FECHA DE PAGO</t>
  </si>
  <si>
    <t>(9)
PORCENTAJE DE AVANCE PROCESO DE GESTION DE LA META
FISICA
(aplica unicamente para el informe del primer semestre)</t>
  </si>
  <si>
    <t xml:space="preserve"> (10) META FISICA DEL PLAN (Según unidad de medida)</t>
  </si>
  <si>
    <t>(11) ACUMULADO DE LA META FISICA (Según unidad de medida)</t>
  </si>
  <si>
    <t>(14) PONDERACIONES DE PROGRAMAS  Y PROYECTOS VIGENCIA 2021 (OPCIONAL DE ACUERDO AL PLAN DE ACCIÓN)</t>
  </si>
  <si>
    <t>(15) META FINANCIERA ANUAL  ($)</t>
  </si>
  <si>
    <t>(16) AVANCE DE LA META FINANCIERA (Recursos comprometidos periodo Evaluado) ($)</t>
  </si>
  <si>
    <t>(18) AVANCE DE LOS RECURSOS OBLIGADOS $</t>
  </si>
  <si>
    <t>(20) RESERVA PRESUPUESTAL $
(16-18)</t>
  </si>
  <si>
    <t>(21) RESERVA PRESUPUESTAL DEL 2020
$</t>
  </si>
  <si>
    <t>(21-A) OBLIGACIONES DE LA RESERVA 2020
 $</t>
  </si>
  <si>
    <t>(21-B) PORCENTAJE DE AVANCE EJECUCIÓN DE LA RESERVA $
(21-A/21)</t>
  </si>
  <si>
    <t>(22)                                         META FINANCIERA   DEL PLAN             ($)</t>
  </si>
  <si>
    <t xml:space="preserve">(24)
PORCENTAJE DE  AVANCE FINANCIERO ACUMULADO %
((23/22)*100)
</t>
  </si>
  <si>
    <t>(25)
OBSERVACIONES</t>
  </si>
  <si>
    <t>(26)
PROGRAMA DE INVERSIÓN PUBLICA A LA QUE APORTA</t>
  </si>
  <si>
    <t>(27)
IMG AL QUE  APORTA</t>
  </si>
  <si>
    <t>FUENTE DE FINANCIACIÓN XXXXXXXXXXXX</t>
  </si>
  <si>
    <t>(1) LINEAS ESTRATEGICAS - PROGRAMAS - PROYECTOS Y ACTIVIDADES DEL PLAN DE ACCIÓN 2020-2023</t>
  </si>
  <si>
    <r>
      <t xml:space="preserve">(1) </t>
    </r>
    <r>
      <rPr>
        <b/>
        <sz val="10"/>
        <color rgb="FFFF0000"/>
        <rFont val="Arial Narrow"/>
        <family val="2"/>
      </rPr>
      <t>LINEAS ESTRATEGICAS</t>
    </r>
    <r>
      <rPr>
        <b/>
        <sz val="10"/>
        <rFont val="Arial Narrow"/>
        <family val="2"/>
      </rPr>
      <t xml:space="preserve"> -
PROGRAMAS - PROYECTOS </t>
    </r>
    <r>
      <rPr>
        <b/>
        <sz val="10"/>
        <color rgb="FFFF0000"/>
        <rFont val="Arial Narrow"/>
        <family val="2"/>
      </rPr>
      <t>Y ACTIVIDADES</t>
    </r>
    <r>
      <rPr>
        <b/>
        <sz val="10"/>
        <rFont val="Arial Narrow"/>
        <family val="2"/>
      </rPr>
      <t xml:space="preserve"> DEL PLAN DE ACCIÓN 2020-2023
(inserte filas cuando sea necesario)
</t>
    </r>
  </si>
  <si>
    <t>Enuncie el nombre del total de los componentes programáticos del PAI: Lineas estrategicas, programas, proyectos y actividades aprobados en el Plan de Acción, utilizando la misma estructura jerárquica del Plan.  Inserte filas cuando sea necesario ingresar mas componentes.  Recuerde que jerárquicamente las lineas están integrados por  programas, estos se componen de proyectos y estos por actividades, y en la matriz se busca conocer hasta la escala de actividad o acción estratégica.</t>
  </si>
  <si>
    <t>Indique la unidad de medida correspondiente a la meta y el avance de la meta física de las actividades, ejemplo hectáreas reforestadas, hectáreas con POMCA, PGIRS Apoyados, etc.  Para el caso de Lineas estrategicas, programas y proyectos no es necesario definir la unidad de medida.</t>
  </si>
  <si>
    <t>Identifique el valor de la meta anual programada para la vigencia que se este evaluando, con relación a la actividad que se relaciona en la columna (1). Ejemplo: hectáreas reforestadas, microcuencas con plan de ordenamiento formulado, # de vertimientos reglamentados, etc.</t>
  </si>
  <si>
    <t>(4) AVANCE DE LA META FISICA</t>
  </si>
  <si>
    <t xml:space="preserve">(4A) AVANCE DEL REZAGO DE LA META FISICA </t>
  </si>
  <si>
    <t>Reporte el avance efectuado en la ejecución de actividades que presentaron rezago en la vigencia inmediatamente anterior.</t>
  </si>
  <si>
    <t>Calcule el porcentaje del avance anual de la Meta física programada. Divida el valor de la columna  (4) con el valor de la columna (3) y multiplique por 100. Si no se presenta avance en la actividad, se deberá diligenciar la matriz con ceros (0,0) y en ningún caso dejar celdas en blanco. Para el cálculo de avance de las líneas, programas y proyectos se debe tener en cuenta el valor de ponderación para la vigencia columna 14, si hay actividades que no tienen meta asociada para el periodo el valor de distribución de las ponderaciones debe distribuirse de forma proporcional entre las actividades que si tienen meta.</t>
  </si>
  <si>
    <t xml:space="preserve">En esta columna debe incluir una descripción o justificación o aclaración del avance del programa, proyecto, actividad. Indicar la cantidad, lugar donde se desarrollo el producto, alcance, etc. </t>
  </si>
  <si>
    <t>(6) FECHA DE EJECUCION DE  LA EVIDENCIA</t>
  </si>
  <si>
    <t>En esta columna se debera seleccionar si el tipo de evidencia que se esta reportando. Debe seleccionar entre las siguientes opciones: 1.Contrato  2. Funcionamiento</t>
  </si>
  <si>
    <t>Especifique la fecha en la cual se hace el registro de la evidencia</t>
  </si>
  <si>
    <t>Si en la columna 7, se selecciono la opción contract, indicar en que estado se encuentra el contrato: Liquidado, en ejecució, saldo a favor o en reserva</t>
  </si>
  <si>
    <t>Relacione el valor comprometido para la ejecución de la actividad.</t>
  </si>
  <si>
    <t>Si para el desarrollo de la actividad se ha efectuado algún pago, indique el valor que corresponda a lo pagado</t>
  </si>
  <si>
    <t>Si en la columna 8A indico un valor pagado, especifique la fecha en la cual se efectuo.</t>
  </si>
  <si>
    <t>(9) PORCENTAJE DE AVANCE PROCESO DE GESTION DE LA META FISICA (aplica unicamente para el informe del primer semestre)</t>
  </si>
  <si>
    <t>(10) META FÍSICA DEL PLAN</t>
  </si>
  <si>
    <t>(11) ACUMULADO DE LA META FISICA</t>
  </si>
  <si>
    <t>(12) PORCENTAJE DE AVANCE FISICO ACUMULADO</t>
  </si>
  <si>
    <t xml:space="preserve">(13) PONDERACIONES DE PROGRAMAS </t>
  </si>
  <si>
    <t>Indique el valor de las ponderaciones o pesos definidos para cada uno de los componente del PAI.</t>
  </si>
  <si>
    <t>Indique el valor de las ponderaciones o pesos definidos para cada uno de los componente del PAI en la vigencia objeto de reporte. Si hay actividades que no tienen meta asociada para el periodo el valor de distribución de las ponderaciones debe distribuirse de forma proporcional entre las actividades que si tienen meta para la vigencia.</t>
  </si>
  <si>
    <t>(15) META FINANCIERA ANUAL</t>
  </si>
  <si>
    <t>(16) AVANCE DE LA META FINANCIERA PROGRAMADA (Periodo Evaluado)</t>
  </si>
  <si>
    <t>(17)  PORCENTAJE DE AVANCE FINANCIERO (Periodo evaluado)</t>
  </si>
  <si>
    <t>(19) PORCENTAJE DE AVANCE DE LOS RECURSOS OBLIGADOS</t>
  </si>
  <si>
    <t>(20) RESERVA PRESUPUESTAL</t>
  </si>
  <si>
    <t>(21) RESERVA PRESUPUESTAL DEL 2020</t>
  </si>
  <si>
    <t>(21-A) OBLIGACIONES DE LA RESERVA 2020</t>
  </si>
  <si>
    <t>Indique el valor correspondiente a los recursos que se comprometieron en la vigencia anterior pero no fueron pagados</t>
  </si>
  <si>
    <t>Indique el valor correspondiente a los recursos de la reserva presupuestal que se obligaron durante la anualidad objeto de reporte</t>
  </si>
  <si>
    <t>(22) META FINANCIERA DEL PLAN</t>
  </si>
  <si>
    <t xml:space="preserve">(23) AVANCE ACUMULADO DE LA META FINANCIERA </t>
  </si>
  <si>
    <t xml:space="preserve">(23) AVANCE 
ACUMULADO DE LA META
FINANCIERA
$
</t>
  </si>
  <si>
    <t>(24) PORCENTAJE DE AVANCE FINANCIERO ACUMULADO %</t>
  </si>
  <si>
    <t>(25) OBSERVACIONES</t>
  </si>
  <si>
    <t>(26) PROGRAMA DE INVERSIÓN PUBLICA A LA QUE APORTA</t>
  </si>
  <si>
    <t>Indique el programa de inversión pública del sector ambiente con el cual se articularon los programas del PAI.</t>
  </si>
  <si>
    <t>(27) IMG AL QUE  APORTA</t>
  </si>
  <si>
    <t>Indique el indicador minimo de gestión al cual aporta la ejecución de las actividades o acciones estratégicas del PAI.</t>
  </si>
  <si>
    <t>(28) INDICADOR ODS AL QUE LE APORTA</t>
  </si>
  <si>
    <t>Indique el indicador de Objetivo de desarrollo sostenible al cual se aporta con los productos del PAI</t>
  </si>
  <si>
    <t>(12) PORCENTAJE DE AVANCE FISICO ACUMULADO % 
((11/10)*100)</t>
  </si>
  <si>
    <t>Si en la columna 7, se selecciono la opción Funcionting, indicar a través de que tipo de acción asociada a funcionamiento se desarrollo la activividad.</t>
  </si>
  <si>
    <t>Si  selecciona en la columna 7 la opcion contrac, Indique el o los numeros de contratos asociados al avance de la actividad  separados de punto y coma (;)</t>
  </si>
  <si>
    <r>
      <t>Calcule el porcentaje del avance anual de la Meta financiera programada. Divida el valor de la columna  (</t>
    </r>
    <r>
      <rPr>
        <sz val="7"/>
        <color rgb="FFFF0000"/>
        <rFont val="Arial Narrow"/>
        <family val="2"/>
      </rPr>
      <t>16</t>
    </r>
    <r>
      <rPr>
        <sz val="7"/>
        <rFont val="Arial Narrow"/>
        <family val="2"/>
      </rPr>
      <t>) con el valor de la columna (</t>
    </r>
    <r>
      <rPr>
        <sz val="7"/>
        <color rgb="FFFF0000"/>
        <rFont val="Arial Narrow"/>
        <family val="2"/>
      </rPr>
      <t>15</t>
    </r>
    <r>
      <rPr>
        <sz val="7"/>
        <rFont val="Arial Narrow"/>
        <family val="2"/>
      </rPr>
      <t xml:space="preserve">) y multiplique por 100. </t>
    </r>
  </si>
  <si>
    <r>
      <t>Se calcula el avance porcentual a la relación entre el avance de la meta financiera (1</t>
    </r>
    <r>
      <rPr>
        <sz val="7"/>
        <color rgb="FFFF0000"/>
        <rFont val="Arial Narrow"/>
        <family val="2"/>
      </rPr>
      <t>8</t>
    </r>
    <r>
      <rPr>
        <sz val="7"/>
        <rFont val="Arial Narrow"/>
        <family val="2"/>
      </rPr>
      <t>) y los recursos obligados (1</t>
    </r>
    <r>
      <rPr>
        <sz val="7"/>
        <color rgb="FFFF0000"/>
        <rFont val="Arial Narrow"/>
        <family val="2"/>
      </rPr>
      <t>6</t>
    </r>
    <r>
      <rPr>
        <sz val="7"/>
        <rFont val="Arial Narrow"/>
        <family val="2"/>
      </rPr>
      <t>)</t>
    </r>
  </si>
  <si>
    <r>
      <t>se calcula la diferencia entre los el avance de la meta financiera (1</t>
    </r>
    <r>
      <rPr>
        <sz val="7"/>
        <color rgb="FFFF0000"/>
        <rFont val="Arial Narrow"/>
        <family val="2"/>
      </rPr>
      <t>6</t>
    </r>
    <r>
      <rPr>
        <sz val="7"/>
        <rFont val="Arial Narrow"/>
        <family val="2"/>
      </rPr>
      <t>) y los recursos obligados (1</t>
    </r>
    <r>
      <rPr>
        <sz val="7"/>
        <color rgb="FFFF0000"/>
        <rFont val="Arial Narrow"/>
        <family val="2"/>
      </rPr>
      <t>8</t>
    </r>
    <r>
      <rPr>
        <sz val="7"/>
        <rFont val="Arial Narrow"/>
        <family val="2"/>
      </rPr>
      <t>)</t>
    </r>
  </si>
  <si>
    <r>
      <t>Calcule el porcentaje del avance acumulado de la Meta financiera programada en el Plan de Acción. Divida el valor de la columna  (</t>
    </r>
    <r>
      <rPr>
        <sz val="7"/>
        <color rgb="FFFF0000"/>
        <rFont val="Arial Narrow"/>
        <family val="2"/>
      </rPr>
      <t>23</t>
    </r>
    <r>
      <rPr>
        <sz val="7"/>
        <rFont val="Arial Narrow"/>
        <family val="2"/>
      </rPr>
      <t>) con el valor de la columna (</t>
    </r>
    <r>
      <rPr>
        <sz val="7"/>
        <color rgb="FFFF0000"/>
        <rFont val="Arial Narrow"/>
        <family val="2"/>
      </rPr>
      <t>22</t>
    </r>
    <r>
      <rPr>
        <sz val="7"/>
        <rFont val="Arial Narrow"/>
        <family val="2"/>
      </rPr>
      <t>) y multiplique por 100.</t>
    </r>
  </si>
  <si>
    <t>(17)  PORCENTAJE DEL AVANCE FINANCIERO % (Periodo Evaluado) 
((16/15)*100)</t>
  </si>
  <si>
    <r>
      <t>(13)               PONDERACIONES DE PROGRAMAS, PROYECTOS</t>
    </r>
    <r>
      <rPr>
        <b/>
        <sz val="8"/>
        <color rgb="FFFF0000"/>
        <rFont val="Arial Narrow"/>
        <family val="2"/>
      </rPr>
      <t xml:space="preserve"> Y ACTIVIDADES</t>
    </r>
  </si>
  <si>
    <t xml:space="preserve">(14) PONDERACIONES DE PROGRAMAS  Y PROYECTOS VIGENCIA 2021 </t>
  </si>
  <si>
    <t>LÍNEA ESTRATÉGICA No. 1. SOSTENIBILIDAD DEL RECURSO HÍDRICO</t>
  </si>
  <si>
    <t>LÍNEA ESTRATÉGICA No. 2. SOSTENIBILIDAD DEL RECURSO NATURAL</t>
  </si>
  <si>
    <t>LÍNEA ESTRATÉGICA No. 4. SOSTENIBILIDAD SECTORIAL</t>
  </si>
  <si>
    <t>LÍNEA ESTRATÉGICA No. 5. SOSTENIBILIDAD INSTITUCIONAL</t>
  </si>
  <si>
    <t>PROGRAMA No 1.1. PLANIFICACIÓN, ADMINISTRACIÓN Y GESTIÓN DEL RECURSO HÍDRICO PARA LA PROTECCIÓN DE LOS ECOSISTEMAS</t>
  </si>
  <si>
    <t>PROGRAMA No 1.2. CARACTERIZACIÓN, CUANTIFICACIÓN Y RECUPERACIÓN DEL RECURSO AGUA COMO ARTICULADOR DE LOS BIENES Y SERVICIOS AMBIENTALES</t>
  </si>
  <si>
    <t>PROGRAMA No 1.3. GESTIÓN INTEGRAL DE LOS RIESGOS ASOCIADOS AL RECURSO HÍDRICO</t>
  </si>
  <si>
    <t>PROGRAMA No 2.1. BIODIVERSIDAD Y RIQUEZA DE LOS ECOSISTEMAS TERRESTRES</t>
  </si>
  <si>
    <t>PROGRAMA No 2.2. BIODIVERSIDAD Y RIQUEZA DE LOS ECOSISTEMAS MARINO COSTERO</t>
  </si>
  <si>
    <t>PROGRAMA No 2.3. ESTRATEGIAS REGIONALES DE CONSERVACIÓN</t>
  </si>
  <si>
    <t>PROGRAMA No 3.1. LA EDUCACIÓN AMBIENTAL COMO PROCESO DE TRANSFORMACIÓN CULTURAL PARA LA SOSTENIBILIDAD.</t>
  </si>
  <si>
    <t>PROGRAMA No 3.2. LA PARTICIPACIÓN SOCIAL COMO FUNDAMENTO DE LA GESTIÓN AMBIENTAL TERRITORIAL.</t>
  </si>
  <si>
    <t>PROGRAMA No 3.3. LA DIVERSIDAD ETNOCULTURAL DEL DEPARTAMENTO DEL ATLÁNTICO COMO POTENCIAL ESTRATÉGICO PARA LA SOSTENIBILIDAD AMBIENTAL.</t>
  </si>
  <si>
    <t>PROGRAMA No 3.4. PARTICIPACIÓN PARA EL SEGUIMIENTOS ODS MUNICIPALES DEL COMPENENTE AMBIENTAL</t>
  </si>
  <si>
    <t>PROGRAMA No 4.1. EQUIPAMIENTO SOSTENIBLES</t>
  </si>
  <si>
    <t>PROGRAMA No 4.2. POR UN DEPARTAMENTO CON ENERGÍAS RENOVABLES</t>
  </si>
  <si>
    <t>PROGRAMA No 4.3. TERRITORIOS CON PLANIFICACIÓN AMBIENTAL</t>
  </si>
  <si>
    <t>PROGRAMA No 4.4. PREVENCIÓN, CONTROL Y MONITOREO DEL AIRE Y SUELO</t>
  </si>
  <si>
    <t>PROGRAMA No 4.5. INSTRUMENTOS ECONÓMICOS Y DE CONTROL AMBIENTAL</t>
  </si>
  <si>
    <t>PROGRAMA No 4.6. COMUNIDADES Y TERRITORIOS CON CONOCIMIENTO Y ADAPTACIÓN A LA GESTIÓN DEL RIESGO</t>
  </si>
  <si>
    <t>PROGRAMA No 4.7. COMUNIDADES Y TERRITORIOS CON CONOCIMIENTO Y ADAPTACIÓN CAMBIO CLIMÁTICO</t>
  </si>
  <si>
    <t>PROGRAMA No 5.1. GESTIÓN HUMANA (PERSONAL COMPETENTE PARA LA SOSTENIBILIDAD AMBIENTAL EN EL DEPARTAMENTO)</t>
  </si>
  <si>
    <t>PROGRAMA No 5.2. SEGURIDAD Y SALUD EN EL TRABAJO</t>
  </si>
  <si>
    <t>PROGRAMA No 5.3. TECNOLOGÍA (TECNOLOGIA DE PUNTA PARA LA AUTORIDAD AMBIENTAL)</t>
  </si>
  <si>
    <t>PROGRAMA No 5.4. COMUNICACIONES (FORTALECIMIENTO DE LA PRESENCIA INSTITUCIONAL EN MEDIOS DE COMUNICACIÓN)</t>
  </si>
  <si>
    <t>PROGRAMA No 5.5. BANCO DE PROYECTOS (CREATIVIDAD PARA LA EJECUCION DE PROYECTOS AMBIENTALES)</t>
  </si>
  <si>
    <t>PROGRAMA No 5.6. SISTEMAS DE INFORMACIÓN AMBIENTAL</t>
  </si>
  <si>
    <t>PROGRAMA No 5.7. SISTEMAS DE GESTIÓN INTEGRADOS</t>
  </si>
  <si>
    <t>PROGRAMA No 5.8. GESTIÓN DOCUMENTAL Y ARCHIVO</t>
  </si>
  <si>
    <t>PROGRAMA No 5.9. SOPORTE JURIDICO (UNA ENTIDAD QUE CUIDA SUS RECURSOS)</t>
  </si>
  <si>
    <t>PROGRAMA No 5.10. GESTIÓN DE INFRAESTRUCTURA (CONDICIONES ADECUADAS PARA PRESTAR UN MEJOR SERVICIO)</t>
  </si>
  <si>
    <t>PROYECTO No 1.1.1. REGULACIÓN Y REGLAMENTACIÓN DEL RECURSO HÍDRICO</t>
  </si>
  <si>
    <t>PROYECTO No 1.1.2. FORTALECIMIENTO DE LA GESTIÓN INSTITUCIONAL Y SOCIAL PARA LA PLANIFICACIÓN, ADMINISTRACIÓN Y  GESTIÓN DEL RECURSO HÍDRICO</t>
  </si>
  <si>
    <t>PROYECTO No 1.1.3. RECUPERACIÓN Y MANEJO DE LOS HUMEDALES DEL DEPARTAMENTO DEL ATLÁNTICO</t>
  </si>
  <si>
    <t>PROYECTO No 1.2.1. USO EFICIENTE Y SOSTENIBLE DEL AGUA</t>
  </si>
  <si>
    <t>PROYECTO No 1.2.2. CONTROL Y PREVENCION DE LA CONTAMINACIÓN DEL RECURSO HÍDRICO</t>
  </si>
  <si>
    <t>PROYECTO No 1.2.3. REDUCCIÓN DE LA CONTAMINACIÓN DEL RECURSO HÍDRICO</t>
  </si>
  <si>
    <t>PROYECTO No 1.3.1. GENERACIÓN DE CONOCIMIENTO Y REDUCCIÓN DEL RIESGO ASOCIADO AL RECURSO HÍDRICO</t>
  </si>
  <si>
    <t>PROYECTO No 2.1.1. DESARROLLO FORESTAL SOSTENIBLE</t>
  </si>
  <si>
    <t>PROYECTO No 2.1.2. GESTIÓN DE ESPECIES</t>
  </si>
  <si>
    <t>PROYECTO No 2.2.1. ORDENACIÓN Y MANEJO DE LA UNIDAD AMBIENTAL COSTERA</t>
  </si>
  <si>
    <t>PROYECTO No 2.2.2. MITIGACIÓN DE RIESGO COSTEROS</t>
  </si>
  <si>
    <t>PROYECTO No 2.2.3. CONSERVACIÓN DE ECOSISTEMAS MARINOS Y COSTEROS</t>
  </si>
  <si>
    <t>PROYECTO No 2.3.1. ÁREAS PROTEGIDAS</t>
  </si>
  <si>
    <t>PROYECTO No 2.3.2. NEGOCIOS VERDES</t>
  </si>
  <si>
    <t>PROYECTO No 2.3.3. BOLSA VERDE ATLÁNTICO</t>
  </si>
  <si>
    <t>PROYECTO No 3.1.1. FORTALECIMIENTO DE LOS COMITES INTERINSTITUCIONALES DE EDUCACIÓN AMBIENTAL-CIDEA</t>
  </si>
  <si>
    <t>PROYECTO No 3.1.2. INCLUSIÓN DEL TEMA AMBIENTAL EN LA EDUCACIÓN FORMAL</t>
  </si>
  <si>
    <t>PROYECTO No 3.1.3. INCLUSIÓN DEL TEMA AMBIENTAL EN LA EDUCACIÓN NO FORMAL</t>
  </si>
  <si>
    <t>PROYECTO No 3.1.4. IMPULSO DE LAS ESTRATEGIAS EDUCATIVAS PARA LA CONSTRUCCIÓN DE UNA CULTURA DE PREVENCIÓN Y GESTIÓN DEL RIESGO.</t>
  </si>
  <si>
    <t>PROYECTO No 3.2.1. ESCUELA DE CAPACITACIÓN AMBIENTAL</t>
  </si>
  <si>
    <t>PROYECTO No 3.2.2 ORGANIZACIONES SOCIALES AL SERVICIO DEL SEGUIMIENTO Y PROTECCIÓN DEL AMBIENTE</t>
  </si>
  <si>
    <t>PROYECTO No 3.2.3. COMUNICANDO Y DIFUNDIENDO EL CONOCIMIENTO AMBIENTAL SOBRE EL DEPARTAMENTO DEL ATLÁNTICO</t>
  </si>
  <si>
    <t>PROYECTO No 3.2.4. PROMOCIONANDO LA PERSPECTIVA DE GÉNERO PARA EL DESARROLLO AMBIENTAL DEL DEPARTAMENTO DEL ATLÁNTICO.</t>
  </si>
  <si>
    <t>PROYECTO 3.3.1. APRENDIENDO A CUIDAR EL AMBIENTE DE LA MANO DE NUESTRAS ETNIAS.</t>
  </si>
  <si>
    <t>PROYECTO No 3.4.1. IMPULSO A LA CREACIÓN Y ORGANIZACIÓN DE LOS COMITÉS MUNICIPALES DEL MEDIO AMBIENTE Y LOS GUARDIANES DEL MEDIO AMBIENTE (GUMA) EN EL DEPARTAMENTO</t>
  </si>
  <si>
    <t>PROYECTO No 3.4.2. IMPLEMENTAR UN SISTEMA DE SEGUIMIENTO Y MONITOREO A ESCALA COMUNITARIA DE LOS OBJETIVOS DE DESARROLLO SOSTENIBLE-ODS EN EL DEPARTAMENTO DEL ATLÁNTICO</t>
  </si>
  <si>
    <t>PROYECTO No 4.1.1. PRODUCCIÓN MÁS LIMPIA</t>
  </si>
  <si>
    <t>PROYECTO No 4.2.1. ENERGÍA DE BIOGÁS-BIOMASA</t>
  </si>
  <si>
    <t>PROYECTO No 4.2.2. ENERGÍA SOLAR</t>
  </si>
  <si>
    <t>PROYECTO No 4.2.3. ENERGÍA EÓLICA</t>
  </si>
  <si>
    <t>PROYECTO No 4.3.1. INSTRUMENTOS DE PLANIFICACIÓN</t>
  </si>
  <si>
    <t>PROYECTO No 4.3.2. ESQUEMAS DE PAGO POR SERVICIOS AMBIENTALES</t>
  </si>
  <si>
    <t>PROYECTO No 4.3.3. DETERMINANTES AMBIENTALES</t>
  </si>
  <si>
    <t>PROYECTO No 4.3.4. SALUD AMBIENTAL</t>
  </si>
  <si>
    <t>PROYECTO No 4.4.1. AIRE</t>
  </si>
  <si>
    <t>PROYECTO No 4.4.2. OLORES</t>
  </si>
  <si>
    <t>PROYECTO No 4.4.3. RUIDO</t>
  </si>
  <si>
    <t>PROYECTO No 4.4.4. RESIDUOS Y ECONOMÍA CIRCULAR</t>
  </si>
  <si>
    <t>PROYECTO No 4.5.1. EVALUACIÓN, SEGUIMIENTO Y CONTROL AMBIENTAL</t>
  </si>
  <si>
    <t>PROYECTO No 4.5.2. INSTRUMENTOS ECONÓMICOS</t>
  </si>
  <si>
    <t>PROYECTO No 4.6.1. CONOCIMIENTO Y ADAPTACIÓN A LA GESTIÓN DEL RIESGO</t>
  </si>
  <si>
    <t>PROYECTO No 4.7.1. CONOCIMIENTO Y ADAPTACIÓN AL CAMBIO CLIMÁTICO</t>
  </si>
  <si>
    <t>PROYECTO No 5.1.1. BIENESTAR SOCIAL</t>
  </si>
  <si>
    <t>PROYECTO No 5.2.1. SG-SST</t>
  </si>
  <si>
    <t>PROYECTO No 5.2.2. PLAN ESTRATÉGICO DE SEGURIDAD VIAL (PESV)</t>
  </si>
  <si>
    <t>PROYECTO No 5.3.1. ESTRATEGIA Y GOBIERNO TI</t>
  </si>
  <si>
    <t>PROYECTO No 5.3.2. SERVICIOS TECNOLÓGICOS</t>
  </si>
  <si>
    <t>PROYECTO No 5.4.1. FORTALECIMIENTO DE LA IMAGEN INSTITUCIONAL</t>
  </si>
  <si>
    <t>PROYECTO No 5.5.1. FORTALECIMIENTO DEL BANCO DE PROYECTOS</t>
  </si>
  <si>
    <t>PROYECTO No 5.6.1. GESTIÓN DE LA INFORMACIÓN</t>
  </si>
  <si>
    <t>PROYECTO No 5.6.2. SISTEMAS DE INFORMACIÓN AMBIENTAL (SIAC)</t>
  </si>
  <si>
    <t>PROYECTO No 5.7.1. SISTEMA DE GESTIÓN DE CALIDAD, AMBIENTAL Y SEGURIDAD Y SALUD EN EL TRABAJO.</t>
  </si>
  <si>
    <t>PROYECTO No 5.7.2. NTC 17025</t>
  </si>
  <si>
    <t>PROYECTO No 5.7.3. MIPG</t>
  </si>
  <si>
    <t>PROYECTO No 5.8.1. SGD</t>
  </si>
  <si>
    <t>PROYECTO No 5.9.1. DEFENSA JURÍDICA</t>
  </si>
  <si>
    <t>PROYECTO No 5.9.2. PQRS</t>
  </si>
  <si>
    <t>PROYECTO No 5.9.3. CONTRATACIÓN ESTATAL</t>
  </si>
  <si>
    <t>PROYECTO No 5.10.1. EFICIENCIA ENERGÉTICA</t>
  </si>
  <si>
    <t>PROYECTO No 5.10.2. MANTENIMIENTO Y ADQUISICIÓN DE NUEVOS ELEMENTOS</t>
  </si>
  <si>
    <t>1.1.1.1. Iniciar el proceso de formulación del Plan de Ordenación y Manejo de Cuencas Hidrográfica de la cuenca de Mar Caribe.</t>
  </si>
  <si>
    <t>1.1.1.2. Adoptar los Planes de Ordenación y Manejo de: Cuencas Hidrográficas del Canal del Dique, Cuenca del complejo de humedades del Rio Magdalena y Cuenca de los Arroyos directos al Mar Caribe.</t>
  </si>
  <si>
    <t>1.1.1.3. Implementar el Plan de Ordenación y Manejo de Cuencas Hidrográficas de la Ciénaga de Mallorquín y los Arroyos Grande y León.</t>
  </si>
  <si>
    <t>1.1.1.4. Implementar el Plan de Ordenación y Manejo de Cuencas Hidrográficas del Complejo de Humedades del Río Magdalena.</t>
  </si>
  <si>
    <t>1.1.1.5. Implementar el Plan de Ordenación y Manejo de Cuencas Hidrográficas del Canal del Dique</t>
  </si>
  <si>
    <t>1.1.1.6. Formular el Plan de Manejo de la Ciénaga de Mallorquín (delimitación y zonificación del humedal a escala 1:25.000), el cual hace parte de sitio RAMSAR Sistema Delta Estuario Ciénaga Grande de Santa Marta.</t>
  </si>
  <si>
    <t>1.1.1.7. Formular el Plan de Manejo de Acuífero de Sabanalarga - Tubará de acuerdo a la priorización definida en los criterios del Decreto 1640 de 2012.</t>
  </si>
  <si>
    <t>1.1.1.11. Elaborar Planes de Ordenamiento del Recurso Hídrico en las Ciénagas Priorizadas del Departamento (Sabanagrande, Santo Tomas, Palmar de Varela, Canal del Dique y Malambo).</t>
  </si>
  <si>
    <t>1.1.1.8. Actualizar el índice del Uso de Agua para el Departamento del Atlántico, ya que éste fue construido en el año 2013.</t>
  </si>
  <si>
    <t>1.1.1.9. Elaborar una Resolución de Priorización de los cuerpos de agua que requieren ser acotados en el departamento.</t>
  </si>
  <si>
    <t>1.1.1.10. Realizar estudios de Rondas Hídricas de los cuerpos de agua priorizados en el departamento (Malambo y Bahía).</t>
  </si>
  <si>
    <t>1.1.1.12. Implementar los Planes de Ordenamiento del Recurso Hídrico que se encuentra elaborados en el departamento (Embalse del Guájaro, la ciénaga de Luruaco y la ciénaga de Mallorquín).</t>
  </si>
  <si>
    <t>1.1.2.1. Conformar un Equipo de Trabajo fortalecido con herramientas e insumos necesarios para llevar a cabo la Planificación, Administración y Gestión del recurso hídrico.</t>
  </si>
  <si>
    <t>1.1.2.2. Implementar los cuatro Consejos de Cuenca (Mallorquin, Canal del Dique, Rio Magdalena y Caribe) como mecanismo de participación efectiva de los usuarios en la Planeación, Administración, Vigilancia y Monitoreo del recurso Hídrico.</t>
  </si>
  <si>
    <t>1.1.3.1. Realizar el mantenimiento a las compuertas de Villa Rosa y el Porvenir que regulan el Embalse del Guájaro.</t>
  </si>
  <si>
    <t>1.1.3.2. Realizar intervenciones para la Recuperación Ambiental de los Humedales asociados a la Cuenca del Canal del Dique (Hidrodinámica del Embalse El Guajaro y los afluentes del ecosistema).</t>
  </si>
  <si>
    <t>1.1.3.3. Realizar intervenciones en los Humedales asociados a la vertiente occidental del Rio Magdalena. (Ciénagas de Malambo, Sabanagrande, Santo Tomás y Palmar de Varela).</t>
  </si>
  <si>
    <t>1.1.3.4. Realizar intervenciones para la Recuperación ambiental de la Cuenca de la Ciénaga de Mallorquín (Cienaga de Mallorquin y Cienaga Rincon o Lago El Cisne).</t>
  </si>
  <si>
    <t>1.1.3.5. Realizar repoblamientos anuales como estrategia de implementación de recuperación de poblaciones naturales de especies nativas asociadas al recurso hidrobiológico en los humedales del departamento.</t>
  </si>
  <si>
    <t>1.2.1.1. Incrementar el número de usuarios del recurso hídrico con Planes de Ahorro y Uso eficiente del Agua.</t>
  </si>
  <si>
    <t>1.2.1.2. Realizar seguimiento a la implementación de los Programas de Ahorro y uso eficiente del agua de los usuarios del Recurso Hídrico.</t>
  </si>
  <si>
    <t>1.2.1.3. Elaborar e Implementar Proyectos para las zonas priorizadas como zonas abastecedora de recurso Hídrico.</t>
  </si>
  <si>
    <t>1.2.2.1. Realizar inventario y registro de usuario (Legales y por legalizar) del recurso Hídrico, en relación con las aguas superficiales y subterráneas.</t>
  </si>
  <si>
    <t>1.2.2.2. Monitorear la Calidad del Recurso Hídrico de las Aguas Continentales</t>
  </si>
  <si>
    <t>1.2.2.3. Monitorear la Calidad del Recurso Hídrico de las aguas Marinas (18 puntos establecidos en la REDCAM).</t>
  </si>
  <si>
    <t>1.2.2.4. Realizar reglamentación de los aportes puntuales de carga contaminante en los cuerpos de agua receptores de vertimientos en el Departamento del Atlántico</t>
  </si>
  <si>
    <t>1.2.2.5. Realizar seguimiento de las metas de Carga Contaminantes para el periodo 2020-2023.</t>
  </si>
  <si>
    <t>1.2.2.6. Realizar inventario de los corregimientos que carecen de Saneamiento Básico en todo el departamento.</t>
  </si>
  <si>
    <t>1.2.2.7. Realizar seguimiento a los vertimientos de los corregimientos del departamento del Atlántico.</t>
  </si>
  <si>
    <t>1.2.3.1. Realizar control, seguimiento y evaluación de los vertimientos, que permita conocer el estado de los cuerpos de agua receptores.</t>
  </si>
  <si>
    <t>1.2.3.2. (A) Reducir los aportes de contaminación puntual a los cuerpos de agua a través de sistemas de tratamiento de agua residuales.</t>
  </si>
  <si>
    <t>1.2.3.2. (B) Reducir los aportes de contaminación puntual a los cuerpos de agua a través de sistemas de tratamiento de agua residuales.</t>
  </si>
  <si>
    <t>1.3.1.1. Identificar y caracterizar la Vulnerabilidad de los ecosistemas claves para la regulación Hídrica e inventariar los riesgos sobre infraestructuras de abastecimiento de agua.</t>
  </si>
  <si>
    <t>1.3.1.2. Diseñar e Implementar medidas de adaptación a los efectos del cambio climático asociados al recurso Hídrico (Reconformación de taludes y/o diques de protección)</t>
  </si>
  <si>
    <t>1.3.1.3. Construir la Canalización para la Recuperación Paisajística y ambiental del Arroyo el Salao Ubicado en el Municipio de Soledad.</t>
  </si>
  <si>
    <t>1.3.1.4. Realizar seguimiento ambiental a la Canalización para la Recuperación Paisajística y ambiental del Arroyo el Salao Ubicado en el Municipio de Soledad.</t>
  </si>
  <si>
    <t>1.3.1.5. Realizar seguimiento ambiental a las Obras de canalización de los arroyos del Distrito de Barranquilla.</t>
  </si>
  <si>
    <t>2.1.1.1 Implementar el Plan de Acción Regional de Lucha contra la Desertificación y la Sequia que contribuya a la restauración de ecosistemas en zonas secas</t>
  </si>
  <si>
    <t>2.1.1.2 Producir 150.000 plantulas, adecuar el sitio y fortalecer técnica y ambientalmente la producción de plantulas en los viveros de la CRA con fines de restauración y recuperación de suelos.</t>
  </si>
  <si>
    <t>2.1.1.3 Implementar un programa de deforestación evitada que incluya al menos las siguientes lineas de acción: articulación con sectores o entes territoriales para incentivar modelos agroambientales, alternativas de eficiencia energetica en hogares y restaurantes y educación ambiental para disminuir la extracción de leña y carbon vegetal</t>
  </si>
  <si>
    <t>2.1.1.4. Ejecutar un programa comunitario de medidas de adaptación al cambio climático basadas en la conservación de los ecosistemas estrategicos (bosque seco y manglar) y enfocadas a la reconversión hacia sistemas sostenibles de producción</t>
  </si>
  <si>
    <t>2.1.1.5 Implementar un programa de conservación de suelos y promoción de sistemas sostenibles de producción</t>
  </si>
  <si>
    <t>2.1.2.1.Realizar el diagnóstico de las especies invasoras del departamento y diseñar una estrategia regional para el control de especies invasoras, exóticas y trasplantadas</t>
  </si>
  <si>
    <t>2.1.2.2. Implementar medidas de prevención, control y manejo de las principales especies invasoras del departamento</t>
  </si>
  <si>
    <t>2.1.2.3. Implementar proyectos comunitarios para la conservación y uso sostenible de especies amenazadas priorizadas para el departamento del Atlántico.</t>
  </si>
  <si>
    <t>2.1.2.4. Actualizar el inventario de Fauna y Flora Silvestre del Departamento del Atlántico</t>
  </si>
  <si>
    <t>2.1.2.5. Diseñar y ejecutar acciones de conservación y manejo para 6 especies amenazadas</t>
  </si>
  <si>
    <t>2.2.1.1. Adoptar e implementar el Plan de Ordenación y Manejo-POMIUAC de la Unidad Ambiental Costera-UAC del Rio Magdalena</t>
  </si>
  <si>
    <t>2.2.1.2. Adelantar e implementar acciones encaminadas a impulsar el ecoturismo sostenible en zonas de la franja costera del departamento del Atlántico.</t>
  </si>
  <si>
    <t>2.2.2.1. Definir e implementar acciones para controlar y mitigar el estado de la Erosión Costera en el Departamento del Atlàntico.</t>
  </si>
  <si>
    <t>2.2.3.1. Diseñar y ejecutar un programa educativo dirigido a la conservación de la Biodiversidad Marino-Costera del departamento del Atlántico, con enfasis en el cumplimiento de las leyes y orientado a controlar la destrucción de barreras naturales de protección de las costas, tales como manglares, arrecifes coralinos, islas de barrera y otras características geomorfológicas de protección.</t>
  </si>
  <si>
    <t>2.2.3.2. Establecer un Programa de Control y Monitoreo de la Unidad Ambiental Costera</t>
  </si>
  <si>
    <t>2.3.1.1. Actualizar y ejecutar los Planes de Manejo Ambiental de las Áreas Protegidas del Departamento</t>
  </si>
  <si>
    <t>2.3.1.2. Establecer acciones para promover la conservación efectiva y el cumplimiento del plan de manejo de las áreas protegidas declaradas.</t>
  </si>
  <si>
    <t>2.3.1.3. Implementar proyectos de restauraciòn y conectividad del Bosque Seco enmarcadas en el SIRAP, SIDAP, SILAP, en el Atlántico.</t>
  </si>
  <si>
    <t>2.3.1.4. Adquirir predios privados localizados al interior de las Áreas protegidas</t>
  </si>
  <si>
    <t>2.3.1.5. Declarar nuevas Áreas Protegidas en el Departamento con registro ante el RUNAP</t>
  </si>
  <si>
    <t>2.3.1.6. Formular y ejecutar Programas de asistencia técnica para la implementación de estrategias educativo ambientales y de participación encaminadas a la conservación de las áreas protegidas declaradas en el departamento del Atlántico.</t>
  </si>
  <si>
    <t>2.3.1.8. Desarrollar estrategias de participación efectiva dirigidas a los propietarios de predios privados y comunidades de las áreas protegidas enfocadas a la conservación y a la implementación de sistemas productivos sostenibles como medida de adaptación al cambio climático</t>
  </si>
  <si>
    <t>2.3.1.9. Formular e implementar proyectos Ecoturísticos de acuerdo con los lineamientos establecidos por la Unidad Administrativa de Parques Nacionales de Colombia (UASPNN), como alternativa sostenible en las áreas protegidas y sus zonas aledañas</t>
  </si>
  <si>
    <t>2.3.1.10. Desarrollar e implementar estudios técnicos que definan la capacidad de carga para el control de ingreso e impactos ambientales generados por los visitantes de las áreas protegidas en el Atlántico</t>
  </si>
  <si>
    <t>2.3.1.11. Gestión del riesgo de desastre por incendio de cobertura vegetal en áreas declaradas como áreas protegidas.</t>
  </si>
  <si>
    <t>2.3.2.1. Actualizar la ventanilla nodo de negocios verdes creada para el departamento del Atlántico.</t>
  </si>
  <si>
    <t>2.3.2.2. Diseñar la Asistencia técnica que permita la consolidación, fortalecimiento de los Negocios Verdes en el Atlántico</t>
  </si>
  <si>
    <t>2.3.2.3. Desarrollar Ferias para la promoción, divulgaciòn y realización de Negocios Verdes en el departamento del Atlántico.</t>
  </si>
  <si>
    <t>2.3.2.4. Celebrar Convenios de Cooperación o alianzas con el sector público o privado nacional o internacional que permita fortalecer la oferta de asitencia técnica y de marketing de los Negocios Verdes existentes en el departamento del Atlántico.</t>
  </si>
  <si>
    <t>2.3.3.1. Estructurar e implementar la primera fase del Programa Regional de compensaciones ambientales agrupadas denominado Bolsa Verde Atlántico, con el objetivo de preservar y restaurar las áreas prioritarias de conservación de la biodiversidad del Atlántico</t>
  </si>
  <si>
    <t>3.1.1.1. Brindar asistencia técnica a los CIDEA municipales para apoyar la formulación del Plan Municipal de Educación Ambiental PMEA</t>
  </si>
  <si>
    <t>3.1.1.2. Apoyar dos acciones contempladas en los PMEA del CIDEA en cada uno de los 22 municipios</t>
  </si>
  <si>
    <t>3.1.1.3. Apoyar la realización de acciones coordinadas y aprobadas por el comité técnico del CIDEA Departamental.</t>
  </si>
  <si>
    <r>
      <rPr>
        <sz val="10"/>
        <color rgb="FF000000"/>
        <rFont val="Arial, sans-serif"/>
      </rPr>
      <t xml:space="preserve">3.1.2.1. Brindar </t>
    </r>
    <r>
      <rPr>
        <sz val="10"/>
        <color rgb="FFFF0000"/>
        <rFont val="Arial, sans-serif"/>
      </rPr>
      <t>asistencia</t>
    </r>
    <r>
      <rPr>
        <sz val="10"/>
        <color rgb="FF000000"/>
        <rFont val="Arial, sans-serif"/>
      </rPr>
      <t xml:space="preserve"> técnica a los Proyectos Ambientales Escolares (PRAE) y apoyar acciones para su implementación.</t>
    </r>
  </si>
  <si>
    <t>3.1.2.2. Impulsar la conformación y/o operatividad de Semilleros de Investigación, Grupos Ecológicos o Clubes de Ciencia y dinamizadores ambientales de los municipios del departamento.</t>
  </si>
  <si>
    <t>3.1.2.3. Establecer alianzas estratégicas con Instituciones de Educación Superior para apoyar la realización de acciones que promuevan la dimensión ambiental.</t>
  </si>
  <si>
    <t>3.1.2.4. (A)Promover la investigación en educación ambiental en el departamento en el marco de la política nacional de educación ambiental (PNEA).</t>
  </si>
  <si>
    <t>3.1.2.4. (B) Promover la investigación en educación ambiental en el departamento en el marco de la política nacional de educación ambiental (PNEA).</t>
  </si>
  <si>
    <t>3.1.3.1. Brindar apoyo y acompañamiento a los PROCEDA como motivadores de cultura ambiental ciudadana y promotores de la gestión y la resolución de los conflictos socioambientales a nivel local.</t>
  </si>
  <si>
    <t>3.1.3.2. Desarrollar un programa de capacitación para formar a jóvenes como gestores ambientales urbanos GAU en el departamento</t>
  </si>
  <si>
    <t>3.1.4.1. Posicionar el tema de la prevención y gestión del riesgo del desastre desde una visión educativa integradora en los Consejos Municipales de Gestión del Riesgo-CMGR de los municipios del Atlántico</t>
  </si>
  <si>
    <t>3.1.4.2. Apoyar a las Instituciones Educativas para la formulación y/o actualización de los Planes Escolares de Gestión del Riesgo-PEGR.</t>
  </si>
  <si>
    <t>3.2.1.1. Brindar el servicio de talleres de educación en temas ambientales relacionados a: Conservación de la biodiversidad, servicios ecosistémicos, manejo y uso sostenible de los ecosistemas marino-costeros, gestión del cambio climático, contaminación de suelo, agua y aire, gestión integral de residuos y Economía Circular, contaminación con metales pesados (mercurio), salud ambiental (COTSA), normatividad ambiental.</t>
  </si>
  <si>
    <t>3.2.1.2. Implementar jornadas pedagógicas a través de las Aulas Ambientales itinerantes para promover una conciencia y cultura ambiental en las comunidades del departamento.</t>
  </si>
  <si>
    <t>3.2.2.1. (A) Apoyar las iniciativas de las ONG´s ambientalistas que coadyuve a gestión ambiental de la Corporación CRA en los municipios del Departamento.</t>
  </si>
  <si>
    <t>3.2.2.1. (B) Apoyar las iniciativas de las ONG´s ambientalistas que coadyuve a gestión ambiental de la Corporación CRA en los municipios del Departamento.</t>
  </si>
  <si>
    <t>3.2.2.2. Apoyo a proyectos productivos para la seguridad alimentaria de las comunidades de pescadores y agricultores del departamento.</t>
  </si>
  <si>
    <t>3.2.3.1. (A) Optimizar el servicio de divulgación de la información que genera la Corporación sobre las iniciativas en las temáticas de educación ambiental y participación y los temas ambientales en general.</t>
  </si>
  <si>
    <t>3.2.3.1.(B) Optimizar el servicio de divulgación de la información que genera la Corporación sobre las iniciativas en las temáticas de educación ambiental y participación y los temas ambientales en general.</t>
  </si>
  <si>
    <t>3.2.3.2. Desarrollar jornadas anuales, a nivel departamental, de recolección de residuos posconsumo peligrosos, especiales y RAEE (envases y bolsas de agroquímicos, medicamentos vencidos, baterías usadas plomo ácido, bombillas, pilas, computadores y llantas usadas).</t>
  </si>
  <si>
    <t>3.2.3.3. Promover la utilización de las TICs, a través de la implementación de proyectos virtuales de educación ambiental en busca de innovación, agilidad y cobertura en el acceso a la información y la construcción de conocimiento ambiental.</t>
  </si>
  <si>
    <t>3.2.3.4. (A) Promocionar escenarios de divulgación e intercambio de conocimientos e iniciativas innovadoras en el marco de la educación ambiental, a nivel regional, nacional e internacional.</t>
  </si>
  <si>
    <t>3.2.3.4. (B) Promocionar escenarios de divulgación e intercambio de conocimientos e iniciativas innovadoras en el marco de la educación ambiental, a nivel regional, nacional e internacional.</t>
  </si>
  <si>
    <t>3.2.4.1. Apoyar iniciativas con enfoque diferencial que incorporen la perspectiva de género asociados a la gestión ambiental de la Corporación CRA.</t>
  </si>
  <si>
    <t>3.3.1.1. Apoyar con enfoque diferencial de las iniciativas integrales de emprendimientos produtivos (plantas medicinales, frutales, huertas caseras, y piscicultura entre otras) o iniciativas de protección de la biodiversidad (reforestación, siembra de manglares entre otras)</t>
  </si>
  <si>
    <t>3.3.1.2. Implementación de acciones con enfoque diferencial para fortalecer los conocimientos, usos, costumbres, saberes y prácticas tradicionales ambientales de las comunidades indígenas y Rom del departamento.</t>
  </si>
  <si>
    <t>3.3.1.3. Implementación de acciones con enfoque diferencial para fortalecer los conocimientos, usos, costumbres, saberes y prácticas tradicionales ambientales de las comunidades negras, afrocolombianas, raizales y palenqueras NARP del departamento.</t>
  </si>
  <si>
    <t>3.3.1.4. Apoyar iniciativas productivas con enfoque diferencial de las comunidades negras, afrocolombianas, raizales y palenqueras NARP del departamento articuladas al PAI de la Corporación CRA.</t>
  </si>
  <si>
    <t>3.4.1.1. Crear los comités municipales de guardianes del medio ambiente -GUMA para apoyar la gestión ambiental de la CRA</t>
  </si>
  <si>
    <t>3.4.1.2. Capacitar y formar a los Guardianes del Medio Ambiente GUMA en los 22 municipios del Departamento del Atlántico.</t>
  </si>
  <si>
    <t>3.4.2.1. Elaborar una matriz para realizar el seguimiento a los indicadores sociales, económicos y ambientales articulados a los ODS en los municipios del departamento del atlántico.</t>
  </si>
  <si>
    <t>4.1.1.1. Implementar Convenios de Producción más Limpia con los sectores de equipamiento urbano</t>
  </si>
  <si>
    <t>4.2.1.1. Fomentar el conocimiento sobre el Potencial energético de la generación de biogás a partir de residuos pecuarios en el Departamento del Atlántico</t>
  </si>
  <si>
    <t>4.2.2.1. Impulsar proyectos de generación de Fuentes No convencionales de Energía Renovable-FNCER, cogeneración a partir de la misma generación distribuida y de gestión eficiente de la energía.</t>
  </si>
  <si>
    <t>4.2.3.1. Conocer el potencial de energía eólica en el Departamento del Atlántico</t>
  </si>
  <si>
    <t>4.3.1.1. Asesorar a los municipios del Dpto. en la inclusión del componente ambiental en los procesos de planificación y ordenamiento territorial, con énfasis en la incorporación de las determinantes ambientales</t>
  </si>
  <si>
    <t>4.3.1.2. Construir el Plan de Gestión Regional. Ambiental - PGAR para la vigencia 2023-2032</t>
  </si>
  <si>
    <t>4.3.2.1. Asistir a los municipios en la implementación y seguimiento de esquemas de pago por servicios ambientales</t>
  </si>
  <si>
    <t>4.3.3.1. Ejecutar acciones orientadas a actualizar la información ambiental en el marco del ordenamiento ambiental y territorial que sirvan de insumo para la elaboración de los POT.</t>
  </si>
  <si>
    <t>4.3.4.1. Ejecutar acciones orientadas a implementar la Política Integral del Salud Ambiental en la jurisdicción de la CRA</t>
  </si>
  <si>
    <t>4.4.1.1. Realizar acciones tendientes a actualizar la situación de concentración de contaminantes criterio en la calidad del aire del Departamento del Atlántico</t>
  </si>
  <si>
    <t>4.4.1.2. Realizar un rediseño del sistema de vigilancia de la calidad del aire en el Departamento del Atlántico.</t>
  </si>
  <si>
    <t>4.4.1.3. Realizar informes mensuales para el Sistema de Calidad del Aire -SISAIRE (Resolución 651 de 29 de marzo de 2010).</t>
  </si>
  <si>
    <t>4.4.1.4. Tramitar y obtener certificado de acreditación del Sistema de Vigilancia de la Calidad del Aire acreditado con NTC ISO 17025 por el IDEAM ( Par. 2 del artículo 2.2.8.9.1.5 del Decreto Único 1076 de 2015).</t>
  </si>
  <si>
    <t>4.4.1.5. Realizar evaluación, seguimiento y control ambiental de las emisiones atmosféricas en el Departamento.</t>
  </si>
  <si>
    <t>4.4.1.6. Estimar las emisiones de Gases de Efecto Invernadero (GEI) sectorial en el Departamento del Atlántico.</t>
  </si>
  <si>
    <t>4.4.1.7. Elaborar el Inventario de emisiones atmosféricas aplicando la Guía para la elaboración de Inventario de Emisiones Atmosféricas</t>
  </si>
  <si>
    <t>4.4.2.1. Controlar las actividades productoras de olores ofensivos en el Departamento</t>
  </si>
  <si>
    <t>4.4.3.1. Actualizar los mapas de ruido diurno y nocturno en los municipios con más de 100.000 habitantes del Departamento</t>
  </si>
  <si>
    <t>4.4.3.2. Promover la adecuada gestión ambiental de las actividades generadoras de emisiones de ruido en el Departamento del Atlántico</t>
  </si>
  <si>
    <t>4.4.3.3. (A) Proporcionar apoyo técnico a los municipios del Departamento del Atlántico en las mediciones de emisión de ruido</t>
  </si>
  <si>
    <t>4.4.3.3. (B) Proporcionar apoyo técnico a los municipios del Departamento del Atlántico en las mediciones de emisión de ruido</t>
  </si>
  <si>
    <t>4.4.4.1. Fomentar el aprovechamiento local del plástico y otros materiales reciclables en los municipios costeros del Departamento del Atlántico</t>
  </si>
  <si>
    <t>4.4.4.2. Realizar seguimiento a la implementación del PGIRS municipios de la jurisdicción de la CRA.</t>
  </si>
  <si>
    <t>4.4.4.3. Realizar seguimiento a la implementación del Plan de Gestión de Residuos Peligrosos de los municipios de la jurisdicción de la CRA.</t>
  </si>
  <si>
    <t>4.4.4.4. Actualizar el registro y reporte de usuarios generadores de RESPEL</t>
  </si>
  <si>
    <t>4.4.4.5. Crear una Agenda Departamental de Economía Circular: materiales industriales y productos de uso masivo (RAEE, RESPEL, llantas usadas), Materiales de envases y empaques; Flujos de Biomasa, Flujos de Agua, Fuentes y flujos de energía, materiales de construcción.</t>
  </si>
  <si>
    <t>4.4.4.6. Ejecutar proyectos en el marco de la Agenda Departamental de Economía</t>
  </si>
  <si>
    <t>4.5.1.1. Promover la eficiencia en la evaluación, seguimiento y control de trámites ambientales</t>
  </si>
  <si>
    <t>4.5.1.2. Atender oportuna y eficazmente las quejas ambientales y procesos sancionatorios</t>
  </si>
  <si>
    <t>4.5.1.3. Realizar seguimiento a medidas de compensación</t>
  </si>
  <si>
    <t>4.5.1.4. Promover instrumentos de formalización minera para identificar actividades ilegales en los Sectores productivos de alto impacto</t>
  </si>
  <si>
    <t>4.5.1.5. Promover instrumentos de formalización minera para identificar y monitorear actividades ilegales en los Sectores productivos de alto impacto</t>
  </si>
  <si>
    <t>4.5.1.6. Atender oportuna y eficazmente las quejas ambientales</t>
  </si>
  <si>
    <t>4.5.1.7. Controlar el tráfico ilegal de especies de Fauna y Flora en el Atlántico</t>
  </si>
  <si>
    <t>4.5.1.8 Atender oportuna y eficazmente las quejas ambientales</t>
  </si>
  <si>
    <t>4.5.2.1. Implementar instrumentos económicos dependiendo de la actividad y su afectación al ambiente</t>
  </si>
  <si>
    <t>4.6.1.1. Elaborar estudios técnicos para el conocimiento y reducción del riesgo e incorporación de la gestión del riesgo en el ordenamiento territorial de los municipios</t>
  </si>
  <si>
    <t>4.6.1.2. Actualizar estudios técnicos para el conocimiento y reducción del riesgo elaborados e incorporación de la gestión del riesgo en el ordenamiento territorial de los municipios</t>
  </si>
  <si>
    <t>4.6.1.3. Promover asesorías para el conocimiento y reducción del riesgo de desastres e incorporación de la gestión del riesgo en el ordenamiento territorial de los municipios</t>
  </si>
  <si>
    <t>4.6.1.4. Brindar acompañamiento y asistencia a las entidades territoriales del Departamento del Atlántico, susceptibles de amenazas por incendios de cobertura vegetal</t>
  </si>
  <si>
    <t>4.7.1.1. Formular e implementar intervenciones locales orientadas a reducir la vulnerabilidad y el aumento de la resiliencia a la variabilidad y al cambio climático, en articulación con la Política Nacional de Cambio Climático y el PGICCTA del Departamento del Atlántico.</t>
  </si>
  <si>
    <t>5.1.1.1. Realizar un estudio para el fortalecimiento Institucional de la Entidad encaminado a la ampliación de la planta de personal y la creación de nuevos cargos.</t>
  </si>
  <si>
    <t>5.1.1.2. Garantizar la libre asociación de los funcionarios de la Entidad</t>
  </si>
  <si>
    <t>5.1.1.3. Elaborar y ejecutar el programa de capacitación y bienestar social de la Entidad para fortalecer los conocimientos, habilidades y destrezas de los funcionarios de la Corporación teniendo en cuenta los tres ejes del Plan Nacional de Formación y Capacitación: Gobernanza para la paz, Gestión del conocimiento, Creación del valor público</t>
  </si>
  <si>
    <t>5.1.1.4. Otorgar auxilios de tipo educativo y otros, a funcionarios que cumplen ciertos requisitos.</t>
  </si>
  <si>
    <t>5.2.1.1. Mantener calificación superior a 90 sobre 100 en la continuidad y mejoramiento del SG-SST (Resolución 312 de 2019 y el decreto 1072 de 2015)</t>
  </si>
  <si>
    <t>5.2.1.2. Realizar diagnostico del perfil sociodemográfico y de las condiciones de salud de los trabajadores</t>
  </si>
  <si>
    <t>5.2.1.3. Realizar informes de ejecución de las actividades de medicina preventiva y del trabajo, promoción y prevención y programas de vigilancia epidemiológica</t>
  </si>
  <si>
    <t>5.2.1.4. Realizar reportes periódicos sobre la práctica de exámenes médicos ocupacionales de ingreso, control periódico y retiro de todos los trabajadores y de control periódico para los colaboradores con contratos iguales o superiores a seis meses</t>
  </si>
  <si>
    <t>5.2.1.5. Realizar reportes anuales sobre los funcionarios y trabajadores en misión, los elementos de protección personal y colectiva que se requieren para el desarrollo de una labor segura y los elementos de protección frente a brotes pandémicos generadores de emergencias económicas, sociales y ecológicas</t>
  </si>
  <si>
    <t>5.2.1.6. Garantizar, conforme a la matriz de peligros y riesgos de la CRA la realización de estudios que contengan las mediciones ambientales de iluminación, ruido, agentes biológicos, químicos y demás establecidos en dicha matriz</t>
  </si>
  <si>
    <t>5.2.1.7. Garantizar la capacitación de trabajo en alturas a funcionarios y contratistas de la Corporación para la mejora de la gestión del riesgo de seguridad y salud</t>
  </si>
  <si>
    <t>5.2.2.1. Garantizar el mantenimiento, continuidad y mejora del Plan Estratégico de Seguridad vial de la CRA (Resolución 1565 de 2014, Resolución 1231 de 2016 y Decreto 2106 de 2019, Resolución 0312 de 2019. Decreto 1079 de 2015.)</t>
  </si>
  <si>
    <t>5.3.1.1. Formular el Plan estratégico de Tecnologías de Información PETI 2020-2023. 
 Formulación de la Política de Gobierno Digital y el Marco de Referencia de Arquitectura Empresarial</t>
  </si>
  <si>
    <t>5.3.1.2. Garantizar la divulgación y ejecución del Plan de Comunicaciones del PETI</t>
  </si>
  <si>
    <t>5.3.1.3. Diseñar e implementar un sistema de gestión de seguridad de la información basado en la norma ISO 27001</t>
  </si>
  <si>
    <t>5.3.2.1. Adquirir, mantener y dar soporte a los equipos de cómputo, periféricos y sistema eléctricos de respaldo a las labores de la Entidad</t>
  </si>
  <si>
    <t>5.3.2.2. Implementar servicios de voz, datos corporativos y servidores virtualizados en la entidad</t>
  </si>
  <si>
    <t>5.3.2.3. Actualizar el software de base de la Corporación</t>
  </si>
  <si>
    <t>5.3.2.4. Implementar servicios tecnológicos que dinamicen la realización de actividades internas y externas de la entidad</t>
  </si>
  <si>
    <t>5.4.1.1. Diseñar e implementar estrategias de comunicación para fortalecer la imagen institucional de la CRA</t>
  </si>
  <si>
    <t>5.4.1.3. Realizar campañas institucionales en medios de comunicación tradicionales y nuevas tecnologías</t>
  </si>
  <si>
    <t>5.4.1.4. Promover la participacion de la comunidad en las actividades de la corporación.</t>
  </si>
  <si>
    <t>5.4.1.2. Aumentar el número de visitas y seguidores en canales virtuales de la entidad</t>
  </si>
  <si>
    <t>5.5.1.1. Gestionar recursos externos nacionales e internacionales a partir de la formulación y ejecución de proyectos ambientales</t>
  </si>
  <si>
    <t>5.5.1.2. Apoyar la formulación, radicación y evaluación de proyectos ambientales radicados en la entidad.</t>
  </si>
  <si>
    <t>5.5.1.3. Adoptar herramientas para el seguimiento de los Instrumentos de Planeación y Administración de proyectos en la entidad</t>
  </si>
  <si>
    <t>5.6.1.1. Renovar y licenciar el Software para el desarrollo de las actividades misionales y administrativas de la entidad.</t>
  </si>
  <si>
    <t>5.6.1.2. Mantener la pagina web, intranet y subportales de la Entidad</t>
  </si>
  <si>
    <t>5.6.1.3. Implementar Software de soporte para la Oficina Jurídica</t>
  </si>
  <si>
    <t>5.6.1.4. Implementar Software de soporte para PQRS</t>
  </si>
  <si>
    <t>5.6.1.5. Formular e Implementar la Política de Seguridad y Manejo de la Informacion y el Marco de Interoperabilidad</t>
  </si>
  <si>
    <t>5.6.2.1. Implementar, mantener y mejorar estrategias para la consolidacion del sistema de informacion geografico ambiental y su articulacion con las diferentes entidades del SINA.</t>
  </si>
  <si>
    <t>5.6.2.2. Dar cumplimiento a la normatividad vigente en materia de Mantenimiento y operación de los subsistemas de SIAC a través de la entrega de información ambiental en: VITAL, RESPEL, RUA, PCBS, SISAIRE, SNIF, SIRH, SIB, SIAM, SMBYC, SIPGA CAR, SINAP-RUNAP, SIUR</t>
  </si>
  <si>
    <t>5.7.1.1. Realizar ciclos de auditoría interna de conformidad con la metodología vigente</t>
  </si>
  <si>
    <t>5.7.1.2. Mantener la certificación del sistema de gestión de la calidad según NTC ISO 9001:2015</t>
  </si>
  <si>
    <t>5.7.1.3. Implementar un sistema de seguridad y salud en el trabajo, según norma NTC 45001:2015</t>
  </si>
  <si>
    <t>5.7.1.4. Implementar un sistema de gestión ambiental según la norma NTC ISO 14001:2015</t>
  </si>
  <si>
    <t>5.7.2.1. Implementar una norma para la calibración de equipos según ISO 17025: 2017 (Ensayo y Calibración)</t>
  </si>
  <si>
    <t>5.7.3.1. Implementar un modelo integrado de planeación y gestión, de conformidad con el Decreto 1499/17</t>
  </si>
  <si>
    <t>5.8.1.1. Disponer de un Archivo Central en condiciones de funcionamiento adecuadas</t>
  </si>
  <si>
    <t>5.8.1.2. Adelantar procesos de digitalización de información sensible y de importancia en la entidad</t>
  </si>
  <si>
    <t>5.8.1.3. Elaborar instrumentos archivísticos y de gestión de la información para la planificación de la gestión documental</t>
  </si>
  <si>
    <t>5.8.1.4. Revisar y Actualizar los instrumentos archivísticos y de gestión de la información que existen en la entidad</t>
  </si>
  <si>
    <t>5.8.1.5. Garantizar el cumplimiento de la normatividad de la gestión documental en cada uno de los archivos de gestión de la entidad</t>
  </si>
  <si>
    <t>5.8.1.6. Fomentar el saneamiento de expedientes</t>
  </si>
  <si>
    <t>5.9.1.1. Atender los trámites jurídico procesales de la Entidad.</t>
  </si>
  <si>
    <t>5.9.1.2. Formular e implementar la política de prevención del daño antijurídico.</t>
  </si>
  <si>
    <t>5.9.2.1. Atender las PQRS radicadas en la Entidad.</t>
  </si>
  <si>
    <t>5.9.3.1. Atender los trámites procesales contractuales requeridos por la Dirección de la Entidad</t>
  </si>
  <si>
    <t>5.10.1.1. Realizar auditorías energéticas a la CRA para desarrollar un programas de eficiencia energética</t>
  </si>
  <si>
    <t>5.10.2.1. Garantizar la funcionalidad de la infraestructura de la Entidad a partir de su mantenimiento preventivo o reposición</t>
  </si>
  <si>
    <t>5.10.2.2. Garantizar el mantenimiento y adecuación (bienes inmuebles) de la sede principal y otras sedes de la corporación</t>
  </si>
  <si>
    <t>5.10.2.3. Disponer de vehículos para las áreas misionales y administrativas de la entidad.</t>
  </si>
  <si>
    <t>Número de documentos que consolide las acciones realizadas en marco de la ordenación de la cuenca del Mar Caribe</t>
  </si>
  <si>
    <t>Número de documentos con el Plan de Manejo de humedales formulado.</t>
  </si>
  <si>
    <t>Número de Documentos técnicos que contenga la actualización del índice de uso de agua</t>
  </si>
  <si>
    <t>Número de Documentos técnicos que contenga la priorización de cuerpos de agua que van hacer acotada su ronda</t>
  </si>
  <si>
    <t>Número de documentos técnicos con los acotamiento de ronda hídrica definidas.</t>
  </si>
  <si>
    <t>Número de Planes de ordenamiento del recurso Hídrico Implementados</t>
  </si>
  <si>
    <t>Número de POMCAS Adoptados bajo el Marco Normativo del 1076 del 2015</t>
  </si>
  <si>
    <t>Porcentaje de avance en la implementación del POMCA Mallorquín Adoptado bajo el marco Normativo del 1076 del 2015</t>
  </si>
  <si>
    <t>Porcentaje de avance en la implementación del POMCA Rio Magdalena Adoptado bajo el marco Normativo del 1076 del 2015</t>
  </si>
  <si>
    <t>Porcentaje de avance de la meta anual de implementación del POMCA Canal del Dique Adoptado bajo el marco Normativo del 1076 del 2015</t>
  </si>
  <si>
    <t>Número de Planes de Manejo de Acuífero.</t>
  </si>
  <si>
    <t>Número de Documentos técnicos que contenga Planes de ordenamiento del recurso hídrico formulados</t>
  </si>
  <si>
    <t>Número de equipo Conformado anualmente</t>
  </si>
  <si>
    <t>Número  de Consejos de Cuenca conformados y en actividad</t>
  </si>
  <si>
    <t>Número de mantenimiento anual a las compuertas Villa Rosa y el Porvenir</t>
  </si>
  <si>
    <t>Número de intervenciones para la Recuperación ambiental de los humedales asociados a la Cuenca del Canal del Dique</t>
  </si>
  <si>
    <t>Número de intervenciones para la Recuperación ambiental de los humedales asociados a la vertiente occidental del Rio Magdalena</t>
  </si>
  <si>
    <t>Número de intervenciones para la Recuperación ambiental de la cuenca de Mallorquín</t>
  </si>
  <si>
    <t>Número de Repoblamientos anuales para la recupoeración de especies nativas asociadas al recurso hídrico en los humedales</t>
  </si>
  <si>
    <t>Porcentaje de usuarios del recurso Hídrico con planes de ahorro y uso eficiente del agua.</t>
  </si>
  <si>
    <t>Número de proyectos elaborados e implementados para las zonas priorizadas como zonas abastecedora de recurso Hídrico.</t>
  </si>
  <si>
    <t>Porcentaje de usuarios del recurso Hídrico con seguimiento anual</t>
  </si>
  <si>
    <t>Monitoreo anual de la calidad fisicoquímica, microbiológica e hidrobiológica  a las aguas Continentales del departamento</t>
  </si>
  <si>
    <t>Monitoreo anual de la calidad fisicoquímica, microbiológica a las aguas Marinas.</t>
  </si>
  <si>
    <t>Seguimiento anual a las metas de carga contaminantes</t>
  </si>
  <si>
    <t>Inventario georreferenciado de corregimientos que carecen de saneamiento básico en el departamento</t>
  </si>
  <si>
    <t>Informe Técnico anual de seguimiento a los corregimientos que carecen de saneamiento básico</t>
  </si>
  <si>
    <t>Porcentaje de usuarios reportados en el SIRH, producto del inventario de usuarios registrados en la CRA</t>
  </si>
  <si>
    <t>Documento con el estado de los cuerpos de agua/objetivos de calidad hídrica en el departamento</t>
  </si>
  <si>
    <t>Informe anual de Seguimiento a las obras de saneamiento ambiental (Planta de tratamiento de aguas residuales-PTARS) para verificar el cumplimiento de las actividades priorizadas en los PSMV.</t>
  </si>
  <si>
    <t>Municipios con reducción de los aportes de contaminantes puntuales a los cuerpos de agua de acuerdo con la implementación de los PSMV</t>
  </si>
  <si>
    <t>Documento técnico con la identificación de ecosistemas claves e inventario de los riesgos sobre infraestructuras de abastecimiento de agua</t>
  </si>
  <si>
    <t>Número de proyectos de mitigación y adaptación de gestión del riesgo asociado a recurso Hídrico</t>
  </si>
  <si>
    <t>Metros lineales construidos y canalizados para la recuperación paisajística y ambiental del arroyo</t>
  </si>
  <si>
    <t>Documento Técnico de Seguimiento Anual de la recuperación paisajística y ambiental del arroyo</t>
  </si>
  <si>
    <t>Informe Técnico con el seguimiento a las obras de canalización de los arroyos del Distrito de Barranquilla</t>
  </si>
  <si>
    <t>Número de Plantulas de maderables y frutales producidas</t>
  </si>
  <si>
    <t>Número de Municipios y/o sectores con estrategias de reconversión hacia sistemas sostenibles de producción implementados</t>
  </si>
  <si>
    <t>Número de hectáreas en restauración, rehabilitación y reforestación</t>
  </si>
  <si>
    <t>Número de Medidas de adaptación al cambio climático implementadas</t>
  </si>
  <si>
    <t>Número de Hectáreas de suelos degradados en recuperación o rehabilitación</t>
  </si>
  <si>
    <t>Número de Documentos Diagnóstico realizados</t>
  </si>
  <si>
    <t>Número de Proyectos comunitarios implementados</t>
  </si>
  <si>
    <t>Número de Inventarios realizados</t>
  </si>
  <si>
    <t>Número de Municipios intervenidos para las 6 medidas de conservaciòn de especies amanazadas</t>
  </si>
  <si>
    <t>Número de acciones de manejo de la Unidad Ambiental Costera</t>
  </si>
  <si>
    <t>Número de playas con estrategias de manejo sostenible implementadas.</t>
  </si>
  <si>
    <t>Número de Acciones Implementadas</t>
  </si>
  <si>
    <t>Número de programas Educativos dirigidos a la Conservación de la Biodiversidad Marino-Costera ejecutados</t>
  </si>
  <si>
    <t>Número de mantenimientos realizados a la Red de Monitoreo formulada, implementada y con seguimiento</t>
  </si>
  <si>
    <t>Números de hectáreas adquiridas al interior de las áreas protegidas</t>
  </si>
  <si>
    <t>Número de protocolos implementados</t>
  </si>
  <si>
    <t>Número de Planes de Manejo Actualizados</t>
  </si>
  <si>
    <t>Número de Acciones realizadas en el cumplimiento de los planes de manejo de las áreas protegidas</t>
  </si>
  <si>
    <t>Número de hectáreas en proceso de restauración para conservación de áreas protegidas</t>
  </si>
  <si>
    <t>Número de hectáreas protegidas regionales declaradas, homologadas o recategorizadas, inscritas en el RUNAP</t>
  </si>
  <si>
    <t>Número de programas formulados y ejecutados en la conservación de las áreas protegidas</t>
  </si>
  <si>
    <t>Número de Estrategias desarrolladas</t>
  </si>
  <si>
    <t>Número de fuentes hídricas intervenidas</t>
  </si>
  <si>
    <t>Número de proyectos formulados e implementados.</t>
  </si>
  <si>
    <t>Número de estudios realizados</t>
  </si>
  <si>
    <t xml:space="preserve"> Número de ventanillas actualizada</t>
  </si>
  <si>
    <t>Número de de negocios verdes consolidados</t>
  </si>
  <si>
    <t>Número de Ferias realizadas</t>
  </si>
  <si>
    <t>Número de convenios establecidos</t>
  </si>
  <si>
    <t>Seguimiento anual a la implementación del Programa Bolsa Verde</t>
  </si>
  <si>
    <t xml:space="preserve"> Número de PMEA formulados</t>
  </si>
  <si>
    <t>Números de acciones ejecutadas en CIDEAS municipales</t>
  </si>
  <si>
    <t>Número de acciones apoyadas del CIDEA departamental.</t>
  </si>
  <si>
    <t>Números de Proyectos Ambientales Escolares asesorados técnicamente y apoyados en su implementación</t>
  </si>
  <si>
    <t>Ejecución de Acciones en Educación Ambiental.</t>
  </si>
  <si>
    <t>Número de acciones que promueven la dimensión ambiental con las IES</t>
  </si>
  <si>
    <t xml:space="preserve"> Documento con el estado del arte de la educación ambiental en el departamento</t>
  </si>
  <si>
    <t>Número publicaciones del estado del arte de la educación ambiental</t>
  </si>
  <si>
    <t>Número de PROCEDA apoyados y/o implementados</t>
  </si>
  <si>
    <t>Número de jóvenes como gestores ambientales urbanos</t>
  </si>
  <si>
    <t>Número de proyectos implementados</t>
  </si>
  <si>
    <t>Número de instituciones educativas apoyadas</t>
  </si>
  <si>
    <t>Porcentajes de talleres de capacitación realizados.</t>
  </si>
  <si>
    <t>Número de jornadas pedagógicas itinerantes realizadas</t>
  </si>
  <si>
    <t>Número de proyectos educativo ambientales implementados</t>
  </si>
  <si>
    <t>Número de eventos y/o ferias realizados</t>
  </si>
  <si>
    <t>Número de proyectos productivos implementados</t>
  </si>
  <si>
    <t>Número de estrategias de comunicación y cultura ciudadana sobre separación en la fuente desarrolladas</t>
  </si>
  <si>
    <t>Número de campañas de comunicación sobre gestión de cambio climático desarrolladas.</t>
  </si>
  <si>
    <t>Número de jornadas de recolección de residuos posconsumo peligrosos, especiales y RAEE realizadas</t>
  </si>
  <si>
    <t>Número de proyectos virtuales implementados</t>
  </si>
  <si>
    <t>Número de escenarios realizados o apoyados.</t>
  </si>
  <si>
    <t>Número de participación y asistencia a eventos nacionales y/o internacionales en educación ambiental</t>
  </si>
  <si>
    <t>Número de proyectos con perspectivas de géneros</t>
  </si>
  <si>
    <t>Número de iniciativas productivas implementadas</t>
  </si>
  <si>
    <t>Número de informes anuales de seguimiento a los ODS</t>
  </si>
  <si>
    <t>Número de estudios de evaluación geoespacial</t>
  </si>
  <si>
    <t>Número de documento elaborado</t>
  </si>
  <si>
    <t>Número de entidades asesoradas</t>
  </si>
  <si>
    <t>Números de actualizaciones de determinantes ambientales actualizados</t>
  </si>
  <si>
    <t>Número de acciones de implementación</t>
  </si>
  <si>
    <t>Número de sistema de vigilancia de calidad de Aire acreditado</t>
  </si>
  <si>
    <t>Porcentaje de seguimiento y evaluación de emisiones atmosféricas</t>
  </si>
  <si>
    <t>Número de estudios técnicos de estimación de GEI</t>
  </si>
  <si>
    <t>Número de documentos técnicos elaborados</t>
  </si>
  <si>
    <t>Número de operativos de actividades generadoras de olores ofensivos realizados por año</t>
  </si>
  <si>
    <t>Porcentaje de quejas atendidas</t>
  </si>
  <si>
    <t>Número de equipos adquiridos</t>
  </si>
  <si>
    <t>Número de equipos calibrados</t>
  </si>
  <si>
    <t>Porcentaje de seguimiento en la implementación del PGRESPEL del Departamento</t>
  </si>
  <si>
    <t>Número de agendas de economía circular elaboradas</t>
  </si>
  <si>
    <t>Número de proyectos de economía circular ejecutados</t>
  </si>
  <si>
    <t>Porcentaje de trámites atendidos para la evaluación, seguimiento y resolución de autorizaciones ambientales otorgadas por la corporación, con cumplimiento de los términos otorgados por la Ley</t>
  </si>
  <si>
    <t>Porcentaje de quejas y procesos sancionatorios resueltos</t>
  </si>
  <si>
    <t>Porcentaje de usuarios ilegales identificados con procesos de formalización de la actividad minera</t>
  </si>
  <si>
    <t>Porcentaje de quejas y de seguimiento a la red amigos de la fauna</t>
  </si>
  <si>
    <t>Número de CAVF implementado</t>
  </si>
  <si>
    <t>Número de bases de datos elaboradas</t>
  </si>
  <si>
    <t>Número de mapas de riesgo elaborados</t>
  </si>
  <si>
    <t>Número de mapas de amenazas actualizados</t>
  </si>
  <si>
    <t>Porcentaje de municipios asesorados anualmente</t>
  </si>
  <si>
    <t>Número de municipios asistidos</t>
  </si>
  <si>
    <t>Número de proyectos para ejecutar acciones para la mitigación y adaptación</t>
  </si>
  <si>
    <t>Numero de estudios realizados</t>
  </si>
  <si>
    <t>Numero de actividades desarrolladas por el grupo de funcionarios que pertenecen al sindicato/actividades planeadas</t>
  </si>
  <si>
    <t>Porcentaje de Funcionarios de planta capacitados</t>
  </si>
  <si>
    <t>Número de auxilios</t>
  </si>
  <si>
    <t>Número de Informes (anuales)</t>
  </si>
  <si>
    <t>Número de Documentos</t>
  </si>
  <si>
    <t>Número de Informes de ejecución de actividades</t>
  </si>
  <si>
    <t>No. de reportes de Información</t>
  </si>
  <si>
    <t>No. de reportes anuales</t>
  </si>
  <si>
    <t>No. de estudios realizados</t>
  </si>
  <si>
    <t>No. de capacitaciones realizadas</t>
  </si>
  <si>
    <t>No. de informes con resultado proyectado</t>
  </si>
  <si>
    <t>No. de Planes Formulados</t>
  </si>
  <si>
    <t>Porcentaje de divulgación y ejecución</t>
  </si>
  <si>
    <t>Sistema de gestión implementado</t>
  </si>
  <si>
    <t>Porcentaje de equipos reemplazados y mantenidos</t>
  </si>
  <si>
    <t>Porcentaje de implementación de servicios tecnológicos</t>
  </si>
  <si>
    <t>Porcentaje de actualización de software</t>
  </si>
  <si>
    <t>Número de servicios tecnológicos implementados</t>
  </si>
  <si>
    <t>Número Estrategias de Comunicación para el fortalecimiento de la imagen institucional</t>
  </si>
  <si>
    <t>Número de campañas institucionales impulsadas</t>
  </si>
  <si>
    <t>Número de interacciones con la comunidad a través de redes sociales</t>
  </si>
  <si>
    <t>Porcentaje de nuevos seguidores en canales virtuales</t>
  </si>
  <si>
    <t>Número de proyectos con financiación nacional o internacional</t>
  </si>
  <si>
    <t>Porcentaje de proyectos revisados con relación a los radicados</t>
  </si>
  <si>
    <t>Número de herramientas desarrolladas para seguimiento</t>
  </si>
  <si>
    <t>Porcentaje de Renovación y Licenciamiento de Software</t>
  </si>
  <si>
    <t>Porcentaje de mantenimiento</t>
  </si>
  <si>
    <t>(Numero de software adquiridos y/o desarrollados / Numero de software necesario para la gestión institucional)*100))</t>
  </si>
  <si>
    <t>Documento de Política Formulado e implementado</t>
  </si>
  <si>
    <t>Porcentaje de implementación y mantenimiento de la herramienta</t>
  </si>
  <si>
    <t>Numero de Auditorias internas realizadas al sistema de gestión integrado</t>
  </si>
  <si>
    <t>Número de Sistemas de Gestión certificados y mantenidos</t>
  </si>
  <si>
    <t>No. de sistemas implementados según NTC 45001:2018 (Sistema de Gestión de la Seguridad y Salud en el Trabajo)</t>
  </si>
  <si>
    <t>No. de sistemas implementados egún NTC ISO 14001:2015 (Sistema de Gestión Ambiental )</t>
  </si>
  <si>
    <t>Norma ISO Implementada</t>
  </si>
  <si>
    <t>No. de modelos implementados</t>
  </si>
  <si>
    <t>Porcentaje de Documentos custodiados (correspondientes al archivo central)</t>
  </si>
  <si>
    <t>Porcentaje de documentos digitalizados (correspondientes a áreas misionales y estratégicas)</t>
  </si>
  <si>
    <t>Número de Instrumentos archivísticos creados.</t>
  </si>
  <si>
    <t>Número de Instrumentos archivísticos actualizados.</t>
  </si>
  <si>
    <t>Número de Archivos Gestionados.</t>
  </si>
  <si>
    <t>Porcentaje de expedientes con saneamiento</t>
  </si>
  <si>
    <t>Porcentaje de atención de trámites procesales</t>
  </si>
  <si>
    <t>Implementación y Formulación de las políticas de prevención de daño antijurídico.</t>
  </si>
  <si>
    <t>Porcentaje de Atención de las PQRS</t>
  </si>
  <si>
    <t>Porcentaje de Atención a las necesidades contractuales de cada dependencia.</t>
  </si>
  <si>
    <t>Numero de auditorias realizadas</t>
  </si>
  <si>
    <t>Número de vehículos disponibles para las áreas estratégicas, misionales y de apoyo en la entidad.</t>
  </si>
  <si>
    <t>Número de iniciativas apoyadas</t>
  </si>
  <si>
    <t>Número de acciones implementadas</t>
  </si>
  <si>
    <t>Números de comités municipales de medio ambiente</t>
  </si>
  <si>
    <t>Porcentaje de guardianes ambientales GUMA organizados y apoyando la gestión ambiental de la CRA</t>
  </si>
  <si>
    <t>Número de convenios de Producción más Limpia implementados</t>
  </si>
  <si>
    <t>Número de proyectos impulsados</t>
  </si>
  <si>
    <t>Número de municipios asesorados en la incorporación de las determinantes ambientales</t>
  </si>
  <si>
    <t>Número de estaciones de calidad del aire en operación con reportes actualizado para el Sistema de Vigilancia de la Calidad del Aire aplicando el Protocolo para el Monitoreo y Seguimiento</t>
  </si>
  <si>
    <t>Número de informes mensuales el Subsistema de información de calidad del aire-SISAIRE realizados</t>
  </si>
  <si>
    <t>Número de Sistema rediseñado</t>
  </si>
  <si>
    <t>Número de mapas de ruido diurno y nocturno actualizados</t>
  </si>
  <si>
    <t xml:space="preserve"> Número de municipios con seguimiento de los PGIRS</t>
  </si>
  <si>
    <t>Porcentaje de registros y reportes actualizados</t>
  </si>
  <si>
    <t xml:space="preserve">Porcentaje de denuncias atendidas </t>
  </si>
  <si>
    <t>Porcentaje de autorizaciones ambientales con seguimiento.</t>
  </si>
  <si>
    <t xml:space="preserve">100% de mantenimiento a infraestructura </t>
  </si>
  <si>
    <t xml:space="preserve">100% de mantenimiento a inmuebles </t>
  </si>
  <si>
    <t>LÍNEA ESTRATÉGICA 3. SOSTENIBILIDAD DEMOCRÁTICA</t>
  </si>
  <si>
    <r>
      <t>Calcule el porcentaje del avance de la Meta física acumulada. Divida el valor de la columna  (11) con el valor de la columna (</t>
    </r>
    <r>
      <rPr>
        <sz val="7"/>
        <color rgb="FFFF0000"/>
        <rFont val="Arial Narrow"/>
        <family val="2"/>
      </rPr>
      <t>10</t>
    </r>
    <r>
      <rPr>
        <sz val="7"/>
        <rFont val="Arial Narrow"/>
        <family val="2"/>
      </rPr>
      <t>) y multiplique por 100. Para el cálculo de avance de las líneas, programas y proyectos se debe tener en cuenta el valor de ponderación del PAI que se encuentra en la columna 13</t>
    </r>
  </si>
  <si>
    <t>$ 0</t>
  </si>
  <si>
    <t>35~Grado de aplicación de la ordenación integrada de los recursos hídricos (0-100)</t>
  </si>
  <si>
    <t>64~Nivel de estrés hídrico: extracción de agua dulce como proporción de los recursos de agua dulce disponibles</t>
  </si>
  <si>
    <t>1~No aplica</t>
  </si>
  <si>
    <t>144~Porcentaje del cambio en la extensión de los ecosistemas relacionados con el agua a lo largo del tiempo</t>
  </si>
  <si>
    <t>190~Proporción de poblaciones de peces que están dentro de niveles biológicamente sostenibles</t>
  </si>
  <si>
    <t>9~Cambio en la eficiencia del uso del agua con el tiempo</t>
  </si>
  <si>
    <t>126~Porcentaje de masas de agua de buena calidad</t>
  </si>
  <si>
    <t>103~Porcentaje de aguas residuales tratadas de manera segura</t>
  </si>
  <si>
    <t>89~Número de países que han comunicado el fortalecimiento de la capacidad institucional, sistémica e individual para implementar la adaptación, la mitigación y la transferencia de tecnología, y acciones desarrolladas</t>
  </si>
  <si>
    <t>80~Número de países menos adelantados y pequeños Estados insulares en desarrollo que están recibiendo apoyo especializado para los mecanismos encaminados a aumentar la capacidad de planificación y gestión eficaces en relación con el cambio climático, incluidos los centrados en las mujeres, los jóvenes y las comunidades locales y marginadas</t>
  </si>
  <si>
    <t>39~Hacia la ordenación forestal sostenible</t>
  </si>
  <si>
    <t>143~Porcentaje de tierras degradadas en comparación con la superficie total</t>
  </si>
  <si>
    <t>184~Proporción de países que adoptan legislación nacional relevante y adecuadamente dotan de recursos a la prevención o control de especies exóticas invasoras</t>
  </si>
  <si>
    <t>57~La asistencia oficial para el desarrollo y el gasto público en la conservación y el uso sostenible de la diversidad biológica y los ecosistemas</t>
  </si>
  <si>
    <t>47~Índice de la Lista Roja</t>
  </si>
  <si>
    <t>84~Número de países que avanzan en ratificar, aceptar e implementar mediante mecanismos legales, normativos e institucionales, instrumentos relacionados con los océanos que implementan el derecho internacional, como se refleja en la Convención, para la conservación y el uso sostenible de los océanos y sus recursos</t>
  </si>
  <si>
    <t>70~Número de estrategias sostenibles de turismo o políticas y planes de acción implementados, con un seguimiento acordado, y herramientas de evaluación.</t>
  </si>
  <si>
    <t>75~Número de países con estrategias nacionales y locales para la reducción del riesgo de desastres</t>
  </si>
  <si>
    <t>191~Proporción de sitios importantes para la biodiversidad terrestre y de agua dulce que están cubiertos por las áreas protegidas, por tipo de ecosistema</t>
  </si>
  <si>
    <t>37~Grado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t>
  </si>
  <si>
    <t>85~Número de países que comunican avances en la efectividad del desarrollo de marcos de seguimiento de múltiples partes interesadas que apoyan el logro de objetivos de desarrollo sostenible</t>
  </si>
  <si>
    <t>201~Residuos peligrosos generados per cápita, proporción de residuos peligrosos tratados y por tipo de tratamiento</t>
  </si>
  <si>
    <t>38~Grado en el que (i) la educación para la ciudadanía global y (ii) la educación para el desarrollo sostenible, incluida la igualdad de género y los derechos humanos, son integrados en todos los niveles en (a) las políticas nacionales de educación (b) los planes de estudio (c) la formación del profesorado y (d) evaluación de los alumnos</t>
  </si>
  <si>
    <t>138~Porcentaje de países que cuentan con sistemas para dar seguimiento a la igualdad de género y el empoderamiento de la mujer y asignar fondos públicos para ese fin</t>
  </si>
  <si>
    <t>30~Gasto total (público y privado) per cápita dedicado a la preservación, protección y conservación de todo el patrimonio cultural y natural. por tipo de patrimonio (cultural, natural, mixto, designación del Centro del Patrimonio Mundial), nivel de gobierno (nacional, regional y local / municipal), el tipo de gastos: gastos de funcionamiento / de inversión y tipo de financiación privada (donaciones en especie, privado sector sin fines de lucro, patrocinio)</t>
  </si>
  <si>
    <t>161~Proporción de la energía renovable en el consumo final total de energía</t>
  </si>
  <si>
    <t>166~Proporción de la población que vive en ciudades que implementan planes de desarrollo urbano y regional integrando las proyecciones de población y las necesidades de recursos, por tamaño de la ciudad</t>
  </si>
  <si>
    <t>65~Niveles medios anuales de partículas finas (por ejemplo, PM2.5 y PM10) en las ciudades (ponderados según la población)</t>
  </si>
  <si>
    <t>88~Número de países que han comunicado el establecimiento o la puesta en funcionamiento de una estrategia/plan/política integrada que aumenta su capacidad para adaptarse a los efectos adversos del cambio climático y fomenta la resiliencia al cambio climático de bajas emisiones de gases efecto invernadero de una manera que no amenace la producción de comida (incluyendo un plan nacional de adaptación, contribución determinada a nivel nacional, comunicación nacional, informe bienal de actualización, u otros) .</t>
  </si>
  <si>
    <t>222~Tasa nacional de reciclado, toneladas de material reciclado</t>
  </si>
  <si>
    <t>141~Porcentaje de residuos sólidos urbanos recolectados periódicamente con descarga final adecuada con respecto al total de los desechos generados por la ciudad</t>
  </si>
  <si>
    <t>174~Proporción de la vida silvestre que fue cazado furtivamente u objeto de tráfico ilícito</t>
  </si>
  <si>
    <t>6~Aumento en el cumplimiento nacional de los derechos laborales (libertad de asociación y negociación colectiva) sobre la base de fuentes textuales de la OIT y la legislación nacional, por sexo y la condición de migrante</t>
  </si>
  <si>
    <t>164~Proporción de la población que se siente satisfecha con su última experiencia de los servicios públicos</t>
  </si>
  <si>
    <t>110~Porcentaje de jóvenes y adultos con conocimientos de tecnología de la información y las comunicaciones (TIC) por tipo de conocimiento técnico</t>
  </si>
  <si>
    <t>224~Tasas de frecuencia de lesiones ocupacionales mortales y no mortales, por sexo y situación migratoria</t>
  </si>
  <si>
    <t>81~Número de países que adoptan y aplican garantías constitucionales, legales y / o de política para el acceso público a la información</t>
  </si>
  <si>
    <t>Para el año 2021 se estableció como meta la adopcion del Ajuste del Planes de Ordenación y Manejo de Cuencas Hidrográficas del Canal del Dique en cumplimiento a lo establecido en el Decreto 1076 del 2015, sin embargo no se logró realizar la adopción, teniendo en consideracion que no se surtieron las consultas previas con 11 comunidades que hacen parte de la cuenca del canal del dique.</t>
  </si>
  <si>
    <t>Durante el año 2021, se vienen implementando los siguientes programas del Plan de Ordenación y manejo de la cuenca hidrográfica de la Ciénaga de Mallorquín y los Arroyos Grande y León:
	PROGRAMA 1: ADMINISTRACIÓN Y GESTIÓN DEL RECURSO HÍDRICO
	PROGRAMA 2: MANEJO Y CONSERVACIÓN DE LA ESTRUCTURA ECOLÓGICA
Estos dos programas se vienen cumpliendo con la ejecución del proyecto de Operación del sistema integral de captación, tratamiento con Biotecnología y reúso de las aguas del arroyo león.</t>
  </si>
  <si>
    <t>Dado que la implementación del POMCA Río Magdalena se encuentra sujeta a la adopción de éste bajo el marco normativo del 1076 del 2015, es necesario acotar que dicha adopción no se ha realizado, por lo cual durante la vigencia del año 2021 no se realizó implementación del instrumento, obteniendose un 0% de avance en la meta programada.</t>
  </si>
  <si>
    <t>Dado que la implementación del POMCA Canal del Dique se encuentra sujeto a la adopción de éste bajo el marco normativo del Decreto No. 1076 del 2015, es necesario acotar que dicha adopción no se ha realizado por lo cual durante la vigencia del año 2021 no se realizó implementacion del instrumento obteniendose un 0% de avance en la meta programada.</t>
  </si>
  <si>
    <t>Durante este año 2021 no se logró realizar la contratación de los estudios de Ronda Hidrica, ya que no se contó con el presupuesto necesario para tal fin.  A la fecha se cuenta con los estudios previos elaborados para realizar la contratacion en el año 2022, por lo que la meta presenta un 3% de avance a corte 31 de diciembre de 2021.</t>
  </si>
  <si>
    <t>Durante la vigencia 2021, no se logró realizar la contratación de los estudios del plan de ordenamiento del recurso hidrico, ya que no se contó con el presupuesto necesario para tal fin.  A la fecha se cuenta con los estudios previos para realizar la contratacion en el año 2022. En consecuencia, la meta a corte 31 de diciembre de 2021, presente un avance de 3%.</t>
  </si>
  <si>
    <t>En la vigencia 2021 se logró el cumplimiento de la meta en el 100%. Las acciones se desarrollaron a través de la ejecución del Contrato No. 281 del 29 de septiembre del 2021 cuyo objeto es: Realizar el monitoreo fisicoquímico, microbiológico e hidrobiológico sobre la calidad y estado actual de las fuentes hídricas del departamento del Atlántico y desarrollo del índice de calidad del embalse el guajaro, en cumplimiento de lo establecido en el Plan de Acción Institucional 2020 – 2023.</t>
  </si>
  <si>
    <t>La Corporación Autónoma Regional del Atlántico conformó para la vigencia 2021, un equipo multidisciplinario que apoya y asesora las actividades de Planificación, Administración y Gestión del recurso hídrico, logrando el cumplimiento de la meta en un 100%. 
Los profesionales contratados para apoyar y fortalecer al equipo interno de trabajo de la CRA, cuentan con una amplia experiencia en el área ambiental y sus perfiles profesionales corresponden a: (1) Ingeniero Ambiental y Sanitario, (Contrato No.039-2021), (1) Ingeniera Civil con Especialización en Saneamiento Básico, (Contrato No.036-2021), (1) Bióloga con Magister en Recurso Naturales, (Contrato No.026-2021), (1) Geógrafo con Magister en Ciencias, Contrato No.132-2021.</t>
  </si>
  <si>
    <t>Al cierre de la vigencia 2021, se da cumplimiento a la meta dado que se encuentran conformados  3 Consejos de Cuenca en actividad, representado en las acciones detalladas en adelante.
Como mecanismo de participación efectiva de los usuarios en la Planeación, Administración, Vigilancia y Monitoreo del recurso Hídrico se encuentran conformados tres (3) Consejos de Cuencas:
­	Ciénaga de Mallorquín y los arroyos Grande y León
­	Complejo de humedales de la vertiente occidental del Río Magdalena en el departamento del Atlántico. 
­	Canal del Dique</t>
  </si>
  <si>
    <t>La Corporación Autónoma Regional del Atlántico celebró con el municipio de Manatí, el Convenio Interadministrativo No. 0000216 del 31 de mayo del 2021 cuyo objeto es “Recuperación de la capacidad de drenaje del canal interceptor del municipio de Manatí en el departamento del Atlántico”, el cual se presenta un avance del 100% de acuerdo a acta de obra de fecha del 17 de diciembre del 2021, firmada por el Municipio de Manati, con esta intervención se da un cumplimiento del 100% del indicador.</t>
  </si>
  <si>
    <t>A corte de 31 de diciembre de 2021 la meta se cumplió al 100%, las actividades ejecutadas para realizar la intervención para la Recuperación ambiental de la cuenca de Mallorquín, se desarrollaron en marco del Contrato No. 0000329 de 2020 el cual presenta un avance del 100% del Contrato inicial y 100% del Adicional No. 1 suscrito el 28 de mayo de 2021, para continuar con las actividades de optimización y operación del sistema integral de captación, tratamiento con biotecnología y reúso de las aguas del arroyo León para garantizar la sostenibilidad hídrica de la Ciénaga del Rincón “Lago El Cisne”.</t>
  </si>
  <si>
    <t>La meta se cumplió en un 100%. El Plan Pescao se inició como una estrategia conjunta entre la CRA, la Secretaría de Desarrollo Económico de la Gobernación del Atlántico, la AUNAP y la Federación de pescadores en el año 2020, el cual contribuyen con el mejoramiento de las poblaciones naturales de especies nativas.</t>
  </si>
  <si>
    <t>A corte 31 de diciembre de 2021, la meta registra un avance del 40% representado en las actividades desarrolladas en marco del Contrato No. 0000261 del 2021, cuyo objeto es: Prestación de servicios profesionales y de apoyo a la gestión para desarrollar un programa comunitario de medida de adaptación al cambio climático, basado en la protección de las zonas abastecedora del recurso hídrico como ecosistemas estratégicos y en cumplimiento a las acciones de manejo del POMIUAC- RIO MAGDALENA, en el cual, entre las actividades desarrolladas podemos mencionar talleres realizados con la comunidad para la elaboración e implementación de dos proyectos comunitarios para las zonas priorizadas como zonas abastecedoras de recurso hídrico, uno de los cuales se elaborará en el municipio de Tubará (Microcuenca Caimán y parte alta del Arroyo Caja) y otro en el municipio de Repelón (Microcuenca arroyo el Limón).</t>
  </si>
  <si>
    <t>Al 31 de diciembre de 2021, la meta tiene cumplimiento del 100%. Esta es una acción de reportar en el SIRH, la cual se debe realizar durante todo el año, hasta el 31 de diciembre del 2021, la corporación cuenta con 30 permisos entre otorgados, renovados y modificados distribuidos de la siguiente manera:
•	Otorgados: 16 permisos
•	Renovados: 7 permisos
•	Modificados: 4 permiso</t>
  </si>
  <si>
    <t xml:space="preserve">A corte 31 de diciembre de 2021, se realizó monitoreo de la calidad fisicoquímica, microbiológica e hidrobiológica a las aguas continentales, dando cumplimiento a la meta programada. Lo anterior, se logró a través de la ejecución del Contrato No. 0000281 del 2021, el cual tiene como Objeto: “Realizar el monitoreo fisicoquimico, microbiologico e hidrobiologico sobre la calidad y estado actual de las fuentes hídricas del departamento del Atlántico y desarrollo del indice de calidad del embalse el guajaro, en cumplimiento de lo establecido en el plan de acción institucional 2020 – 2023.” </t>
  </si>
  <si>
    <t>La Corporacion suscribió el Convenio No. 0010 del 2021, con el INVEMAR para “Aunar esfuerzos técnicos, administrativos y financieros para evaluar la calidad de las aguas marinas y costeras en el marco del monitoreo de la redcam y determinar las condiciones ambientales del ecosistema de pastos marinos en la ensenada de Puerto Velero, Departamento del Atlántico”. 
Se firmó el acta de inicio actividades el 1° de diciembre de 2021; a corte 31 de diciembre no se ha realizado el monitoreo, por lo que la meta presenta un avance de ejecución del 5%.</t>
  </si>
  <si>
    <t>La meta presenta un avance del 100%, toda vez que como resultado del Contrato 360 de 2020 se generó la Resolución No.0000449 de 2021 “Por la cual se establecen los objetivos de calidad para los cuerpos de agua de la jurisdicción de la corporacion autonoma regional del atlantico a corto, mediano y largo plazo”</t>
  </si>
  <si>
    <t xml:space="preserve">A 31 de diciembre de 2021, se registra un cumplimiento del 100% en la meta, el seguimiento a las metas de cargas se realiza a través del diligenciamiento de la matriz en la cual se consigna la información relacionada con las autodeclaraciones de carga en vertimiento, presentadas por los usuarios, información de la entidad de estudios realizados resientemente y la información de las metas de carga establecida para cada tramo; insumos utilizados por la CRA, para la liquidación de la tasa retributiva.  </t>
  </si>
  <si>
    <t>La meta programada se cumplió en el 100% a 31 de diciembre del 2021. El cumplimiento a través de la ejecución del Contrato No. 0000379 de 2020 cuyo objeto es: “Realizar el inventario de los sistemas agua potable y saneamiento basico de los corregimientos del departamento del atlantico en el marco de proyecto de control y prevencion de la contaminacion del recurso hidrico”.</t>
  </si>
  <si>
    <t>A corte 31 de diciembre de 2021, la meta tuvo cumplimiento del 100%. Durante el año 2021 y de conformidad con la Resolución No. 1433 de 2004, expedida por el Ministerio de Ambiente, Vivienda y Desarrollo Territorial, hoy Ministerio de Ambiente y Desarrollo Sostenible, se realizaron dos visitas de seguimiento ambiental a cada uno de los sistemas de tratamiento de agua residual de los 22 municipios y el Distrito de Barranquilla, para verificar el cumplimiento de los planes de saneamiento manejo de vertimiento, en cuanto al avance físico de las actividades e inversiones programadas y a la meta individual de reducción de carga contaminante establecida.</t>
  </si>
  <si>
    <t xml:space="preserve">Para la vigencia del 2021, se dejó establecido como cumplimiento de la meta, la finalización de las obras de saneamiento de manejo de vertimiento para los Municipios de Santo Tomás y Palmar de Varela, estas intervenciones se realizan a través del Contrato de obra que se relaciona:
1. Contrato de obra N°440-2019 cuyo objeto contractual es: “Construcción planta de tratamiento de aguas residuales para los municipios de Santo Tomás, Sabanagrande y Palmar de Varela, ubicada en Santo Tomás - departamento del Atlántico” 
El Contrato tuvo su inicio el día 5 de febrero del 2020, con actividades de replanteo topográfico de las impulsiones y replanteo de la PTAR por parte de la firma contratista. 
La construcción de las obras permitirá el saneamiento ambiental de la cabecera municipal, mejorando la calidad de vida de sus habitantes, quienes dejarán de soportar las aguas negras que se acumulaban en diferentes sectores de los municipios, provocando en algunas ocasiones enfermedades respiratorias y cutáneas. </t>
  </si>
  <si>
    <t>La Corporación Autónoma Regional del Atlántico, celebró el Contrato No. 237 del 2021 para realizar la “Construcción de estación de bombeo y planta de tratamiento de aguas residuales para el municipio de Juan de Acosta y el sector de El Vaiven en el Departamento del Atlántico”, garantizando con su ejecución, el apoyo en la implementación de los Planes de Saneamiento de manejo de vertimientos-PSMV en el municipio de Juan de Acosta, en el marco del Plan Departamental de Agua.</t>
  </si>
  <si>
    <t xml:space="preserve">A corte 31 de diciembre de  2021, se realizó la canalizacion de 273 ml del arroyo el Salao, lo cual representa un 91% de los 300 ml programados como meta para la vigencia a traves del Contrato N°0000367 del 22 de diciembre de 2014 cuyo objeto es “Realizar la construcción de la canalización para la recuperación paisajística y ambiental del arroyo el Salao, ubicado en el municipio de Soledad, Departamento del Atlántico”.  </t>
  </si>
  <si>
    <t>Se realizó informe de seguimiento a las obras establecidas en el proyecto “Realizar la construcción de la canalización para la recuperación paisajística y ambiental del arroyo El Salao ubicado en el municipio de Soledad, Departamento del Atlántico”, correspondiente al Contrato N°0000367 del 22 de diciembre de 2014, dando cumplimiento a la meta programada de Un (1) Informe anual de seguimiento a las Condiciones ambientales del Arroyo Salao.</t>
  </si>
  <si>
    <t>La Corporación dio cumplimiento al 100% de la meta elaborando el informe de seguimiento a las obras de canalización de los arroyos del Distrito de Barranquilla establecidas en el marco del Convenio No. 031 de 2016 entre la Corporación Autónoma Regional del Atlántico y la Alcaldía Distrital de Barranquilla.</t>
  </si>
  <si>
    <t>A 31 de diciembre de 2021 la meta registra un avance del 5% con la suscripción del Contrato No. 0000305 del 28 de diciembre del 2021 cuyo objeto es:  “Realizar las obras de mantenimiento y adecuación de las naves de producción del vivero ARMANDO DUGAND GNECCO ubicado en el municipio de Repelon, a fin de fortalecer técnica y ambientalmente el vivero para la producción, acopio y distribución de plantulas con fines de restauración y recuperacion de suelos”, al cierre de la vigencia el Contrato se encontraba a la espera del cumplimiento de requisitos para dar inicio y ser ejecutado durante la vigencia 2022.</t>
  </si>
  <si>
    <t xml:space="preserve">Con la ejecución de actividades desarrolladas en marco del Contrato No. 0000261 de 2021 cuyo objeto es “Prestación de servicios profesionales y de apoyo a la gestión para desarrollar un programa comunitario de medida de adaptacion al cambio climatico basado en la proteccion de las zonas abastecedora del recurso hidrico como ecosistemas estrategicos y en cumplimiento a las acciones de manejo del POMIUAC- Río Magdalena” se da cumplimiento a la meta de una medida de adaptación al cambio climatico implementada a traves de la ejecución del programa comunitario con la realización de capacitaciones y talleres en el municipio de Juan de Acosta. </t>
  </si>
  <si>
    <t xml:space="preserve">En el marco del Contrato No. 0000148 de 2021, cuyo objeto es “Desarrollar una estrategia de educación sobre el control de dos (02) especies invasoras y exóticas, la conservación y uso sostenible de especies amenazadas y priorizadas en el plan de acción 2020-2023, a través de la sensibilización ambiental.”  se logró brindar a las comunidades del departamento del Atlántico información sobre las especies exóticas e invasoras presentes en el territorio, las cuales corresponden al Caracol Gigante Africano y el Neem, y entregar a los habitantes del Atlántico, como parte del plan de contingencias, una serie de orientaciones técnicas para el manejo y control de estas dos (02) especies exóticas e invasoras identificadas. </t>
  </si>
  <si>
    <t>En el marco del Contrato No. 00000148 de 2021, se adelantaron acciones de apoyo para el desarrollo de dos (2) proyectos comunitarios para la conservación y uso sostenible de especies amenazadas priorizadas para el departamento del Atlántico, a través del acompañamiento a la Corporación y a los participantes en la elaboración del proyecto, dando cumplimiento a la meta establecida de 2 proyectos durante la vigencia los cuales se encuentran discriminadas en el informe.</t>
  </si>
  <si>
    <t xml:space="preserve">La meta no presenta avances al 31 de diciembre de 2021. Para lograr el cumplimiento de la misma, la Corporación se encuentra revisando la información existente, con el objetivo de estructurar los Estudios Previos y Proyectos de Pliegos que permitan la contratación, a través de un proceso de selección objetiva de mínima cuantía, de un contratista con experiencia para desarrollar las actividades requeridas en el cumplimiento de la meta trazada. </t>
  </si>
  <si>
    <t xml:space="preserve">En el marco del Contrato No. 000155 de 2021 cuyo objeto es: “Desarrollar un programa de educación ambiental que influya en la reducción de procesos de transformación y pérdida de ecosistemas especialmente influenciados por el cambio climático en las áreas protegidas del Departamento del Atlántico”, se da cumplimiento al 100% de la meta a través del desarrollo de estrategias dirigidas a los propietarios de predios ubicados en las áreas protegidas (Luruaco, Piojó, Repelón y Usiacurí). Para lograr el cumplimiento de la meta, se realizaron talleres en los municipios mencionados. </t>
  </si>
  <si>
    <t xml:space="preserve">Con la formulación e implementación de dos (2) Proyectos Ecoturísticos como alternativa sostenible en las áreas protegidas y sus zonas aledañas, cumplimos con el 100% de la meta programada para la vigencia 2021
Los proyectos se lograron como resultado final de un proceso de capacitación que se desarrolló con la participación de la comunidad de los municipios de Luruaco y Piojó, buscando impulsar el desarrollo económico local, con base en actividades de conservación como el ecoturismo. Durante los procesos formativos se identificaron las múltiples potencialidades que tienen estos municipios, para desarrollar actividades relacionadas con el turismo de comunidad (naturaleza, ecoturismo, cultural, etc.). </t>
  </si>
  <si>
    <t>Se adelantaron gestiones para desarrollar un (1) estudio  técnico  que  defina  la capacidad  de  carga  para  el  control  de  ingreso  e  impactos  ambientales generados por los visitantes de las áreas protegidas en el Atlántico. 
Al cierre del presente informe, la Subdirección de Gestión Ambiental elaboró los estudios previos para iniciar el proceso de contratación. Al finalizar la vigencia 2021 la meta tiene un avance del 3%.</t>
  </si>
  <si>
    <t xml:space="preserve">A 31 de diciembre del 2021 la meta logró su cumplimiento al 100%. Las acciones adelantadas han permitido posicionar los negocios verdes como un nuevo renglón de la economía regional. 
Las acciones que permitieron el logro de la meta se han desarrollado en marco del convenio No.004 de 2021 Suscrito con la Alianza Colombiana de Instituciones Públicas de Educación Superior - RED SUMMA. </t>
  </si>
  <si>
    <t xml:space="preserve">Producto del proceso de verificación a través de la realización de visitas técnicas realizadas entre la CRA y el Ministerio y acuerdo con el cumplimento de los criterios de selección para que puedan ser avalados como Negocios Verdes, los siguientes 27 Negocios cumplieron con los requisitos exigidos para poder ser un negocio avalado por la autoridad CRA, con corte a diciembre de 2021, en apoyo con la oficina de negocios verdes del Ministerio de Ambiente y Desarrollo Sostenible. </t>
  </si>
  <si>
    <t>En el marco del Convenio No. 004 del 2021, suscrito con la Alianza Colombiana de Instituciones Públicas de Educación Superior - RED SUMMA, se realizarán las gestiones necesarias para la celebración de Convenios de Cooperación o alianzas con el sector público o privado nacional o internacional que permita fortalecer la oferta de asistencia técnica y de marketing de los Negocios Verdes existentes en el departamento del Atlántico. 
En tal sentido, la meta de establecer un (1) convenio en la vigencia 2021 tuvo cumplimiento del 100%.</t>
  </si>
  <si>
    <t xml:space="preserve">La corporación, dentro del marco del programa de bolsa verde, a pesar de no contar con el respectivo operador del programa, ha avanzado en el desarrollo de las estrategias contempladas en uno de los proyectos priorizados relacionados con bosque seco, para lo cual aprobó la compra de aproximadamente 62 ha. en el área protegida El Palomar y dentro de la misma, la acción de restauración del área a través de la compensación aprobada a la empresa amarillo, de lo cual se hizo entrega formal por parte de dicha empresa y el respectivo seguimiento para la vigencia 2021, lo que nos ha permitido determinar la eficacia del diseño propuesto en el marco de Bolsa Verde. </t>
  </si>
  <si>
    <t xml:space="preserve">La meta tuvo a 31 de diciembre de 2021 un avance del 20%, representado en actividades desarrolladas a lo largo de la vigencia. Brindamos asistencia técnica mediante reuniones virtuales, correos electrónicos y talleres presenciales, en cuanto a la construcción del PMEA a los 22 CIDEA.
Cuentan con diagnóstico en fase de construcción avanzada:  los CIDEA de Piojó, Malambo, Ponedera, Usiacurí y Candelaria. </t>
  </si>
  <si>
    <t>La meta tiene a diciembre 31 de 2021 un avance del 20%, representado en las siguientes actividades.
Participación del Foro “MALAMBO, CONSTRUYENDO CIUDAD VERDE”: desarrollado por el CIDEA de Malambo el 27 de abril de 2021, se presentó una ponencia titulada “Moral y Cuidado de la Tierra”, Cuyo objetivo fue “dar una mirada sobre las “luces” que aporta la Educación Ambiental para entender cómo influye la moral en el cuidado de la Tierra”.</t>
  </si>
  <si>
    <t xml:space="preserve">Con las actividades desarrolladas en la vigencia 2021 cumplimos con el 100% de la meta programada.
Se presentaron los avances para la construcción del Plan Departamental de Educación Ambiental para el Atlántico en reunión del CIDEA departamental, realizada el día 03 de marzo de 2021 en el marco de la construcción del Plan Decenal de Educación Ambiental-PDEA. </t>
  </si>
  <si>
    <t>En alianza con la Uniminuto, la CRA viene participando en el grupo de reflexión curricular, en la planeación de competencias, del futuro profesional en psicología, para el afianzamiento de conductas acordes con el desarrollo ambiental, la educación y la construcción sostenible, de acuerdo con las políticas nacionales e internacionales vigentes. 
Con la acción realizada, la meta se cumplió en el 100% para la vigencia 2021</t>
  </si>
  <si>
    <t>En marco del convenio No.003 del 2021 celebrado para Aunar esfuerzos administrativos, técnicos y financieros a fin de fortalecer la inclusión de la dimensión ambiental en la educación formal y la estrategia de economía circular en el departamento del Atlántico, se llevó a cabo una investigación que nos permitiera conocer el estado del arte de la educación ambiental en el departamento del Atlántico.</t>
  </si>
  <si>
    <t>Con las actividades desarrolladas a través del Contrato No.151 del 29 de marzo del 2021, cuyo objeto contractual es : “Prestación de servicios profesionales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se dio cumplimiento al 100% de la meta establecida para la vigencia 2021.</t>
  </si>
  <si>
    <t>La meta programada para la vigencia 2021 tuvo cumplimiento del 100%. El apoyo a las 73 instituciones educativas en la formulación y/o actualización de los PEGR se logró en marco del Contrato N°152 del 30 de marzo del 2021 cuyo objeto es: Prestación de servicios profesionales y de apoyo a la gestión para desarrollar estrategias educativas ambientales para la construcción de una cultura de prevención y gestión del riesgo en instituciones educativas oficiales del departamento, así como el apoyo a los proyectos propuestos por los CMGR.</t>
  </si>
  <si>
    <t>En la vigencia 2021, la meta tuvo cumplimiento del 100% de talleres de capacitación realizados, relacionados con temas ambientales, solicitados en el departamento. 
Atendimos la totalidad de la demanda de talleres de capacitación presentadas por parte de la comunidad, para ello desarrollamos 33 talleres en los temas: Manejo de residuos sólidos ordinarios, emisiones atmosféricas, biodiversidad, caracol africano, logrando capacitar a 815 personas.</t>
  </si>
  <si>
    <t>A diciembre 31 de la vigencia 2021, con la ejecución del Contrato No.190 del 21 de mayo del 2021 cuyo objeto contractual es: “Prestacion de servicios profesionales y de apoyo a la gestion, para, formar agentes ambientales en las comunidades seleccionadas de los municipios de galapa, suan y juan de acosta en la conservación de la biodiversidad desde su aporte local, como una herramienta de conciencia cultural, social y ambiental”, la meta tuvo cumplimiento del 100%.
En marco del Contrato se desarrollaron diez (10) jornadas pedagógicas dirigidas a 150 miembros de las comunidades previamente seleccionadas de los municipios de Galapa, Suan y Juan de Acosta.</t>
  </si>
  <si>
    <t>Con la implementación de siete (7) proyectos educativo ambientales, la meta tuvo cumplimiento del 100%. 
Para el logro de los objetivos trazados, la Corporación Autónoma Regional del Atlántico, celebró el Contrato N° 151 de 2021 cuyo objeto contractual fue: “Prestación de servicios profesionales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t>
  </si>
  <si>
    <t>Producto de los talleres teórico prácticos, desarrollados a través de la Primera Escuela Regional de Liderazgo Ambiental, en marco del Contrato N° 151 de 2021 cuyo objeto contractual es: “Prestación de servicios profesionales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realizamos una feria ambiental con experiencias exitosas en la implementación de los ODS municipales, brindando la oportunidad a los participantes, de mostrar sus iniciativas, capacidades, productos, innovaciones y creatividad sobre estilos de vida biosociales y amigables con el medio ambiente, cumpliendo así la meta programada en un 100%.</t>
  </si>
  <si>
    <t>Podemos decir que, existe seguridad alimentaria cuando las personas tenemos permanentemente acceso físico y económico a suficientes alimentos para satisfacer nuestras necesidades alimenticias, a fin de llevar una vida activa y sana.
A través del Contrato N° 154 del 30 de marzo del  2021, cuyo objeto contractual es: “Prestación de servicios profesionales y de apoyo a la gestión para promover espacios para la participación ciudadana en la gestión ambiental que permitan sensibilizar al ciudadano en la conservación de los ecosistemas de su entorno asociados a su bienestar social y económico”, se dio cumplimiento al 100% de la meta a diciembre 31 de 2021.</t>
  </si>
  <si>
    <t>Con el desarrollo de una (1) estrategia de comunicación y cultura ciudadana sobre separación en la fuente la meta se cumplió en el 100% en la vigencia 2021.
Lo anterior se logró con la ejecución del Contrato N. 00153 del 30 de marzo del 2021 cuyo objeto es: Prestación de servicios profesionales y de apoyo a la gestión para desarrollar un programa de sensibilización para fortalecer en la comunidad el conocimiento ambiental sobre el departamento del Atlántico, a través de estrategias de comunicación, educación ambiental y del acompañamiento apoyo a los PROCEDA.</t>
  </si>
  <si>
    <t xml:space="preserve">La meta tuvo cumplimiento del 100%, ello fue posible a que en marco del Contrato N. 00153 del 30 de marzo del 2021 cuyo objeto es: Prestación de servicios profesionales y de apoyo a la gestión para desarrollar un programa de sensibilización para fortalecer en la comunidad el conocimiento ambiental sobre el departamento del Atlántico, a través de estrategias de comunicación, educación ambiental y del acompañamiento apoyo a los PROCEDA se realizó un concurso de fotografía digital y video de tipo ambiental, abierto, en el que se evidenciaron acciones de mitigación y/o adaptación al cambio climático tanto por la biodiversidad como los seres humanos y/o las potencialidades de los ecosistemas del Departamento. 
En el concurso fueron inscritas 157 fotografías, para lo cual se realizó la exposición de éstas en un Centro comercial de la ciudad de Barranquilla, con gran afluencia de público desde el día 24 de septiembre de 2021 hasta el día 9 de octubre del 2021. </t>
  </si>
  <si>
    <t>La meta tuvo cumplimiento del 100% a 31 de diciembre de 2021, las actividades que permitieron el logro de la meta se desarrollaron en marco del Contrato N. 00153 del 30 de marzo del 2021 cuyo objeto es: Prestación de servicios profesionales y de apoyo a la gestión para desarrollar un programa de sensibilización para fortalecer en la comunidad el conocimiento ambiental sobre el departamento del Atlántico, a través de estrategias de comunicación, educación ambiental y del acompañamiento apoyo a los PROCEDA.
Se desarrolló una campaña de cultura ciudadana sobre separación en la fuente de los residuos sólidos y RAEE. La campaña de recolección de residuos posconsumo peligrosos, especiales y RAEE., se realizó en 10 municipios: Soledad (1 de octubre), Sabanagrande (21 de septiembre), Santo Tomás (22 de septiembre), Palmar de Varela (29 de septiembre), Ponedera (24 de septiembre), Puerto Colombia (25 de septiembre), Tubará (23 de septiembre), Galapa (27 de septiembre), Baranoa (28 de septiembre) y Sabanalarga (30 de septiembre).</t>
  </si>
  <si>
    <t xml:space="preserve">Con la ejecución del Contrato N. 00153 del 30 de marzo del 2021 cuyo objeto es: Prestación de servicios profesionales y de apoyo a la gestión para desarrollar un programa de sensibilización para fortalecer en la comunidad el conocimiento ambiental sobre el departamento del Atlántico, a través de estrategias de comunicación, educación ambiental y del acompañamiento apoyo a los PROCEDA.  La meta se cumplió al 100% durante la vigencia 2021.
Se realizaron dos (2) webinarios, los días 12 y 13 de agosto de 2021 como preámbulo del concurso de fotografía ambiental, cuyas temáticas fueron: 
1.	Fotografía ambiental: https://www.youtube.com/watch?v=swAwZdY_K8s&amp;t=667s  
2.	Potencialidades ambientales del Atlántico y su adaptación al cambio climático: https://www.youtube.com/watch?v=XWJ9pNTWhsw&amp;t=13s  </t>
  </si>
  <si>
    <t>Las actividades planteadas para dar cumplimiento a la meta se desarrollaron favorablemente logrando un cumpimiento del 100% de la misma en la vigencia 2021.
Se promovió un espacio departamental de socialización en el cual se presentaron los resultados de las actividades realizadas por cada uno de los Proyectos Ciudadanos de Educación Ambiental -PROCEDA, que permitió el intercambio de experiencias durante el I Encuentro de Departamental de PROCEDAS. 
En el evento se presentaron representantes de cada Proyecto, quienes tuvieron un espacio para mostrar su iniciativa y la experiencia en la realización del mismo. El evento fue realizado el día 14 de octubre del 2021 en la ciudad de Barranquilla.</t>
  </si>
  <si>
    <t>La Corporación, en cabeza del Director General asistió al evento Comisión Regional de Educación Ambiental del Caribe e Insular -CREACI realizado el día 16 de julio de 2021 en Coveñas, Sucre, y participó en el conversatorio: “La experiencia en educación ambiental de las CAR/CDS del Caribe; una aproximación constructiva hacia el futuro de territorio”. cuyo objetivo es implementar estrategias de trabajo conjunto y articulado en el fortalecimiento de la educación ambiental en la Región Caribe.
Con estas participaciones se cumplió el 100% de la meta programada para la vigencia 2021.</t>
  </si>
  <si>
    <t>Con la ejecución del Contrato No.151 del 29 de marzo del 2021, cuyo objeto contractual es : “Prestación de servicios profesionales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creamos 23 comités municipales del medio ambiente dando cumplimiento al 100% de la meta establecida para la vigencia 2021.</t>
  </si>
  <si>
    <t>Con las actividades desarrolladas a través del Contrato No.151 del 29 de marzo del 2021, cuyo objeto contractual es : “Prestación de servicios profesionales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se dio cumplimiento al 100% de la meta establecida para la vigencia 2021.
En marco del Contrato, se creó la primera Escuela Regional de Liderazgo Ambiental, a través de la cual desarrollamos talleres teórico prácticos, formando a 70 jóvenes como Guardianes Ambientales del Medio Ambiente – GUMA.</t>
  </si>
  <si>
    <t xml:space="preserve">Con la celebración del Contrato No.151 del 29 de marzo del 2021, cuyo objeto contractual es: “Prestación de servicios profesionales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se da cumplimiento al 100% de la meta establecida para la vigencia 2021.
El informe anual de seguimiento a los ODS quedó plasmado en el documento denominado: Informe de seguimiento hacia los ODS en el departamento del Atlántico, en éste, se registra el seguimiento a los ODS dentro del departamento del Atlántico, basado en las tendencias de cada uno de los indicadores disponibles en el Plan de Desarrollo Departamental 2016-2019 y los resultados frente a los indicadores y metas trazadas en el CONPES 3918. </t>
  </si>
  <si>
    <t>La meta no presentó avance físico en su ejecución, sin embargo, para el cumplimiento de esta meta la corporación suscribió el Convenio 0007 celebrado con la Universidad Simón Bolívar, cuyo alcance incluye implementar un proyecto de Producción Más Limpia -PML- para el fomento y fortalecimiento del desempeño y la eficiencia ambiental en una institución educativa pública priorizada del departamento del Atlántico. 
Se estableció el clausulado del mencionado convenio y el Plan de trabajo donde se detallan las actividades a realizar, incluyendo la implementación de Convenios de Producción más Limpia con los sectores de equipamiento urbano.  
Con la celebración del Contrato, la meta registra un avance del 5% en la vigencia 2021.</t>
  </si>
  <si>
    <t>Con la celebración del Convenio 0007 celebrado con la Universidad Simón Bolívar, el cual tiene por objeto: “aunar esfuerzos y recursos técnicos, jurídicos, administrativos y financieros para el desarrollo de un programa institucional que contribuya al fortalecimiento de la gestión e innovación ambiental sostenible de los recursos naturales del departamento del Atlántico”. Se impulsó un (1) proyecto para el aprovechamiento energético de biomasa agropecuaria en el Departamento del Atlántico.</t>
  </si>
  <si>
    <t xml:space="preserve">La meta presentó avance de un 5% con la celebración del Convenio 0007, celebrado con la Universidad Simón Bolívar, la Subdirección de Gestión Ambiental adelanta las acciones para desarrollar durante la vigencia 2022 el estudio de evaluación geoespacial para conocer el potencial de energía eólica en el Departamento del Atlántico. 
El Plan de trabajo incluye el apoyo para desarrollar un (1) estudio de evaluación geoespacial. </t>
  </si>
  <si>
    <t>Con las actividades desarrolladas para asesorar a los municipios en los procesos de revisión de sus instrumentos de planificación del desarrollo físico territorial, podemos indicar que al 31 de diciembre de 2021 la meta tuvo cumplimiento del 100%; lo que significa que, brindamos asesoría a los 23 municipios del departamento del Atlántico.</t>
  </si>
  <si>
    <t>A 31 de diciembre de 2021 la meta tuvo cumplimiento del 100%.
Con oficio N°000942 del 31 de marzo del 2021, se informa al Ministro de Ambiente y Desarrollo Sostenible sobre predios para proteger las fuentes hídricas abastecedoras de
los acueductos en el Departamento del Atlántico y Pagos por Servicios Ambientales.</t>
  </si>
  <si>
    <t xml:space="preserve">Mediante la ejecución de los Contratos 189 de 2021 cuyo objeto es:  Compra de kits didácticos ambientales para sensibilizar a las comunidades seleccionadas de los municipios de Galapa, Suan y Juan de Acosta en la conservación de la biodiversidad desde su aporte local, como una herramienta de conciencia cultural, social y ambiental.    y 190 de 2021 cuyo objeto es: Prestación de servicios profesionales y de apoyo a la gestión, para, formar agentes ambientales en las comunidades seleccionadas de los municipios de Galapa, Suan y Juan de Acosta en la conservación de la biodiversidad desde su aporte local, como una herramienta de conciencia cultural, social y ambiental”, se logró el cumplimiento del 100% de la meta, a través del desarrollo de acciones orientadas a implementar la Política Integral del Salud Ambiental en la jurisdicción de la CRA. 
En marco de los Contratos se realizaron las siguientes actividades durante la vigencia 2021:  
•	Diez (10) talleres dirigidos a miembros de las comunidades previamente seleccionadas de los municipios de Galapa, Suan y Juan de Acosta para la formación de ciento cincuenta (150) Agentes Ambientales Municipales. 
•	Suministro de los implementos necesarios (kits didácticos ambientales) para la formación de agentes ambientales y agentes ambientales municipales. </t>
  </si>
  <si>
    <t xml:space="preserve">En la vigencia 2021 se efectuó visita de seguimiento y control ambiental a las estaciones del Sistema de Vigilancia de la Calidad del Aire-SVCA en jurisdicción de la Corporación Autónoma Regional del Atlántico-CRA, verificando que se encuentran en operación seis (6) estaciones con reporte de datos meteorológicos, de las ocho (8) estaciones con las que cuenta la Corporación, logrando un cumplimiento del 75% de la meta programada. </t>
  </si>
  <si>
    <t xml:space="preserve">Durante la vigencia 2021, la Corporación realizó adecuaciones para la implementación de la plataforma SARA CLOUD (https://monitoreo.gndelectronics.com/accounts/signin/) en las estaciones PIMSA (Malambo), Tránsito (Malambo), Granabastos (Soledad), EDUMAS (Soledad), Alcaldía (Puerto Colombia) y Bomberos (Puerto Colombia), para el reporte en línea de los datos meteorológicos; sin embargo no se logró los objetivos de reportes del informe SISAIRE debido a la ausencia de datos de parámetros de contaminantes atmosféricos objeto. </t>
  </si>
  <si>
    <t>El cumplimiento de este indiciador está sujeto a la capacitación del personal en la Norma Técnica Colombiana NTC ISO 17025:2019. 
A través de la Subdirección de Gestión Ambiental, se realizará para la vigencia 2022 la contratación y ejecución de actividades para la acreditación por  el IDEAM, del  Sistema  de Vigilancia  de  la  Calidad  del  Aire  Acreditado y en operación con  NTC  ISO  17025  
Al corte de diciembre 31 de 2021 no se registran avances en la meta.</t>
  </si>
  <si>
    <t>Las acciones desarrolladas al 31 de Diciembre de 2021  representan un avance del 68% en la vigencia, asociadas a seguimiento y evaluación ambiental las cuales se describen en el informe.</t>
  </si>
  <si>
    <t xml:space="preserve">La Subdirección de Gestión Ambiental, en el marco del Convenio 0007 celebrado con la Universidad Simón Bolívar, adelantará las acciones para elaborar el Inventario de emisiones atmosféricas aplicando la Guía para la elaboración de Inventario de Emisiones Atmosféricas. 
A la entrega del presente informe y con la celebración del convenio la meta presenta un avance del 5%. </t>
  </si>
  <si>
    <t xml:space="preserve">Al 31 de diciembre de 2021 la meta programada tiene un cumplimiento del 100% con la realización de dos (2) operativos.
1.	OPERATIVO INTERPELLI 
2.	OPERATIVO AGROSAN </t>
  </si>
  <si>
    <t>La Corporación ha identificado la necesidad de actualizar los mapas de ruido diurno y nocturno de los municipios con más de 100.00 habitantes, en virtud de lo anterior, en el marco del Convenio 007 de 2021 la Subdirección de Gestión Ambiental adelantará las acciones para actualizar  los mapas de ruido diurno y nocturno en los municipios con más de 100.000 habitantes del Departamento, el cual tiene por objeto “aunar esfuerzos y recursos técnicos, jurídicos, administrativos y financieros para el desarrollo de un programa institucional que contribuya al fortalecimiento de la gestión e innovación ambiental sostenible de los recursos naturales del departamento del Atlántico”.  
Al cierre de la vigencia con la celebración del convenio mencionado la meta presenta avance en su ejecución de un 5%; en el Plan de trabajo se detallan las actividades a realizar, incluyendo la implementación y análisis de mapas de ruido diurno y nocturno actualizados en los municipios con más de 100.000 habitantes del Departamento.</t>
  </si>
  <si>
    <t>En la vigencia 2021 hemos atendido el 100% de las quejas realizadas por actividades generadoras de ruido en el Departamento del Atlántico. Se recibieron y atendieron 19 denuncias por presunta afectación por emisión de ruido presentadas por la comunidad, tal como se detalla en el informe.</t>
  </si>
  <si>
    <t xml:space="preserve">Al 31 de diciembre de 2021 no se registran avances en la meta; sin embargo, es importante mencionar que, la Corporación dispone de dos (2) equipos sonómetros portátiles que cuentan con kit completo de estación metereológica, pistófonos y calibrador; que, para fortalecer y seguir garantizando a los municipios del departamento el apoyo técnico en las mediciones de ruido oportunamente, la entidad va a adquirir dos (2) nuevos equipos de medición en la vigencia siguiente. </t>
  </si>
  <si>
    <t>Las actividades desarrolladas al 30 de junio de 2021 representan un 3% de avance en la meta. 
Desde la Subdirección de Gestión Ambiental se adelantó la elaboración de los estudios previos, para celebrar el proceso de contratación para el servicio de calibración de los equipos de medición de Ruido existentes, tomando como referente lo establecido en la Resolución No. 0627 del 2006 para la próxima vigencia.</t>
  </si>
  <si>
    <t>En el marco del convenio No.003 del 2021 cuyo objeto es: “Aunar esfuerzos administrativos, técnicos y financieros a fin de fortalecer la inclusión de la dimensión ambiental en la educación formal y la estrategia de economía circular en el departamento del Atlántico”, se están realizando capacitaciones a los recicladores de las zonas costeras donde se fortalece el conocimiento de la adecuada separación de los residuos sólidos y el aprovechamiento de los materiales reciclable dentro de su trabajo.</t>
  </si>
  <si>
    <t>La Corporación, a través de la Subdirección de Gestión Ambiental adelantó  acciones asociadas al seguimiento de la implementación del Plan de Gestión de Residuos Peligrosos de los municipios de la jurisdicción de la CRA las cuales se especifican en el informe y dando cumplimineto a dicha meta.</t>
  </si>
  <si>
    <t>La meta registra un cumplimiento del 100% a Diciembre 31 de 2021
En la vigencia 2021 el aplicativo de Generadores de Residuos o Desechos peligrosos cuenta con un total de trescientos veinticinco (325) establecimientos registrados. Adicionalmente, se recibieron 46 solicitudes de inscripción al aplicativo RESPEL, de las cuales fueron atendidas al 100% según se detalla en el informe.</t>
  </si>
  <si>
    <t>A corte de 31 de diciembre del 2022, en el marco del convenio No.003 del 2021 cuyo objeto es: “Aunar esfuerzos administrativos, técnicos y financieros a fin de fortalecer la inclusión de la dimensión ambiental en la educación formal y la estrategia de economía circular en el departamento del Atlántico”, se llevaron a cabo todas las mesas de trabajo para obtener la información para la construcción de la agenda de económica circular, adicionalmente se sistematizó lo desarrollado dentro de la línea base para comenzar a diseñar el documento y así poder socializar con los diferentes gremios lo que se plasmó para llevarle un seguimiento y desarrollar las diferentes actividades de forma conjunta logrando que se convierta en el plan de acción de la economía circular en el departamento del Atlántico.</t>
  </si>
  <si>
    <t>A corte de 31 de diciembre del 2022, en el marco del convenio No.003 del 2021 cuyo objeto es: “Aunar esfuerzos administrativos, técnicos y financieros a fin de fortalecer la inclusión de la dimensión ambiental en la educación formal y la estrategia de economía circular en el departamento del Atlántico” la meta registra un avance del 20%. De acuerdo a lo avanzando en el desarrollo de la agenda salieron diferentes proyectos para desarrollar en el marco de dicho convenio, sin embargo, estos se encuentran en proceso de formulación para comenzar su ejecución en el 2022.</t>
  </si>
  <si>
    <t xml:space="preserve">Con las acciones desarrolladas en el año se tiene un avance de la meta de un 82% a 31 Diciembre del 2021. En términos generales durante el año 2021 se expidieron 237 autos de inicio, En cuanto a pronunciamientos, una vez validado el cumplimiento de los requisitos de pago y publicación durante el año 2021 se evaluaron y negación 5 solicitudes de permisos ambientales y expidieron 80 resoluciones de otorgamiento. De igual forma se evaluaron y autorizaron 159 solicitudes de tala de árboles, durante la vigencia 2021.  En el caso concreto de las 257 solicitudes recibidas durante el año 2021, 11 se encuentran con requerimiento de información, 188 cuentan con auto de inicio, de las cuales 87 que cumplieron con los requerimientos de información complementaria, pago y/o publicación por parte de los interesados, 64 fueron evaluadas durante el periodo, logrando una atención de 146 del total de las solicitudes, equivalente al 73%.  </t>
  </si>
  <si>
    <t xml:space="preserve">El promedio de cumplimiento de estos dos componentes del indicador de Denuncias Ambientales y Procesos Sancionatorios es del 43%. Para el periodo enero a diciembre de 2021, han ingresado un total de 425 denuncias asociadas a la afectación de recursos naturales, de las cuales se ha dado atención a 288 correspondiente al 67%. De los 497 procesos activos registrados al inicio del periodo, se resolvieron 86 investigaciones y se cesaron 10 procesos sancionatorios, registrando un avance del 19%.  </t>
  </si>
  <si>
    <t>En cumplimiento de la Resolución 360 de 2018, desde la vigencia anterior se priorizaron los seguimientos a las medidas de compensación establecidos en el marco de los proyectos licenciados y aprovechamiento Forestal único de los instrumentos activos de la Subdirección.
En referencia de lo citado anteriormente, de las 78 autorizaciones forestales registradas al inicio del año, en el periodo 2021 se llevaron a cabo 63 seguimientos, logrando un cumplimiento del 81%.</t>
  </si>
  <si>
    <t xml:space="preserve">En el marco del Contrato 231 de 2021, cuyo objeto es “Acompañamiento y desarrollo de actividades que permitan la identificación de usuarios ilegales de alto impacto, que realizan minería ilegal y acciones que permitan la formalización de la actividad minera en los municipios del departamento del Atlántico”, se desarrolló un (1) estudio que permite identificar usuarios que realizan minería ilegal, quienes pueden adelantar la formalización de la actividad minera en los municipios del Departamento del Atlántico, dando cumplimiento al 100% de la meta programada para la vigencia 2021. 
El diagnóstico realizado permitió la identificación de usuarios potenciales que realizan minería ilegal en los municipios de Juan de Acosta, Puerto Colombia, Campo de la Cruz, Luruaco, Soledad, Sabanalarga y Candelaria. </t>
  </si>
  <si>
    <t xml:space="preserve">El promedio de cumplimiento de estos dos componentes del indicador es de 83.5% para la vigencia 2021. Para el periodo enero a diciembre de 2021, han ingresado un total de 425 denuncias asociadas a la afectación de recursos naturales, de las cuales se ha dado atención a 288, logrando un cumplimiento del 67%. Para el apoyo del cumplimiento de esta meta, la Corporación Autónoma Regional del Atlántico, suscribió el Contrato 00041 de 2021 que tiene por objeto Prestar los servicios profesionales de un veterinario que apoye los procesos de decomisos y postdecomiso de las especies faunísticas. 
En el marco de las obligaciones contractuales se desarrolló el seguimiento a la Red de Amigos de la Fauna de los 2 establecimientos que pertenecen a esta figura: 
1.	Villa Zunilda. Resolución 644 de 2013  
2.	GRANJA ECO CAMPESTRE SOLAR DE MAO. Resolución 624 de 2013  
El cumplimiento del seguimiento de la Red de Amigos de la Fauna es del 100%. 
      </t>
  </si>
  <si>
    <t xml:space="preserve">En la vigencia 2021, la meta logró un cumplimiento del 94.38%
Para el apoyo del cumplimiento de la meta, se suscribió el Contrato No.041 de 2021 que tiene por objeto: PRESTAR LOS SERVICIOS PROFESIONALES DE UN VETERINARIO QUE APOYE LOS PROCESOS DE DECOMISOS Y POSTDECOMISO DE LAS ESPECIES FAUNISTICAS. Entre las obligaciones de este Contrato se encuentra el seguimiento a la Red de Amigos de la Fauna, que es la figura que la entidad utiliza para el manejo de la Fauna Silvestre decomisada, entregada o rescatada, pues la entidad no cuenta hasta el momento con CAV. 
Adicional a lo anterior, se suscribió el Contrato No.052 de 2021 que tiene por objeto: PRESTAR LOS SERVICIOS PROFESIONALES DE UN BIOLOGO PARA QUE APOYE EN LA SUPERVISION DE LAS EXPORTACIONES DE LOS PRODUCTOS DE LA FAUNA Y DE LA FLORA SILVESTRE PROVENIENTE DE ESTABLECIMIENTOS LEGALMENTE ESTABLECIDOS, A TRAVES DE LOS PUERTOS AUTORIZADOS EN JURISDICCION DE LA CRA, ASI COMO EN LA DISPOSICION DE ESPECIES DECOMISADAS.   </t>
  </si>
  <si>
    <t>Desde la Subdirección de Gestión Ambiental, se lideró la construcción del directorio unificado de usuarios de la SDGA, diseñado y cargado en el aplicativo Share Point - Office 365.  La alimentación del directorio parte de la información que reposa en los expedientes de la Corporación y de los datos de identificación del usuario, consultados en la base de datos de la Cámara de Comercio de Barranquilla.  
A 31 de diciembre de 2021 se han registrado 579 usuarios de la Corporación, dando cumplimiento al 100% de la meta con Una (1) base de datos elaborada de usuarios para la regulación de los instrumentos economicos ambientales.</t>
  </si>
  <si>
    <t>Con las actividades desarrolladas para asesorar a los municipios del departamento del Atlántico en lo que corresponde a la incorporación del componente de gestión de riesgos a sus instrumentos de planificación, podemos indicar que al 31 de diciembre de 2021 la meta presenta se cumplió en el 100% de municipios asesorados.</t>
  </si>
  <si>
    <t>La Corporación Autónoma Regional del Atlántico, en calidad de autoridad ambiental y en el desempeño de sus funciones de asistencia técnica y jurídica ambiental en los procesos de ordenación del territorio, remitió a los 22 municipios y al Distrito de Barranquilla, oficio N°01291 del 26 de abril del 2021, recordando la Implementación de procesos de Gestión del Riesgo de Desastre y Gestión al Cambio Climático en los Instrumentos de Planificación Territorial, así como la inclusión de las Determinantes Ambientales previamente remitidas por la entidad, en los procesos de ajuste, revisión y/o actualización de los instrumentos de planificación del territorio, de los entes territoriales.</t>
  </si>
  <si>
    <t>Con las acciones desarrolladas, se alcanzó la meta establecida de realizar un (1) estudio de fortalecimiento Institucional, lo que representa una ejecución de esta acción estrategica en un 100%, a corte 31 de diciembre del 2021. 
Para ello, se realizaron diez (10) reuniones entre los delegados del Departamento Administrativo de la Función Pública - DAFP con el Comité Técnico del Proceso de Rediseño Institucional, en las sigientes fechas: febrero 2, febrero 18, marzo 3, marzo 18, marzo 30, mayo 9, julio 14, Octubre 10, Noviembre 11 y  Noviembre 29 de 2022, en las que se revisó la ejecución de los pasos que requiere el proceso para poder contar con una propuesta técnica.</t>
  </si>
  <si>
    <t>A corte 31 de diciembre del 2021 se realizaron las 4 reuniones programadas de los miembros del sindicato, proyectadas para esta vigencia, lo que representa un cumplimiento del 100% respecto a la ejecución de esta acción estratégica.
Las reuniones se llevaron a cabo en las siguientes fechas: 16 de julio, 17 de marzo, 28 de Septiembre y 29 de octubre del añor 2021, para las cuales fueron otorgados los respectivos permisos sindicales, garantizando el derecho a su libre asociación.</t>
  </si>
  <si>
    <t>A continuación se presenta la forma como se logró el cumplimiento del 100% de la meta correspondiente a la presente acción estrategica.
Con base en el Plan de Capacitación y el Plan de Bienestar Social de la entidad formulado, se firmó con la Fundación Alianza Tecnológica y Desarrollo Educativo –ALITIC el Contrato No. 109 de 2021, cuyo objeto fue: Contratar a una persona jurídica que preste los servicios profesionales en capacitación, formación y actualización para implementar los conocimientos, el desarrollo de habilidades y competencias en los funcionarios, empleados y contratistas de la Corporación Autónoma Regional del Atlántico para la mejora continua en el ejercicio de sus funciones y obligaciones. Lo anterior, para el cumplimiento del Plan de Capacitación Institucional.</t>
  </si>
  <si>
    <t>A corte 31 de diciembre esta acción estrategica presenta un cumplimiento del 100%. 
La meta de esta vigencia de entregar 10 auxilios de tipo educativo y de otro tipo fue superada, teniendo en cuenta que se otorgaron un total de 31 estímulos educativos para funcionarios o sus familiares cursaran estudios a nivel de pregrado, postgrado, educación preescolar, primaria y secundaria.</t>
  </si>
  <si>
    <t xml:space="preserve">Por legislación, la Autoevaluación de los Estandares Mínimos del Sistema de Gestión de la Seguridad y Salud en el Tranbajo - SG-SST, se realiza al finalizar la vigencia, es decir, en diciembre de 2021, cuyos resultados determinaran la calificación esperada del Informe Anual de la vigencia.
Los insumos que permiten ir evaluando el avance de esta meta son: el cumplimiento del Plan de Trabajo Anual en SST, el Plan de Capacitación y el cumplimiento de los Requisitos Legales aplicables. </t>
  </si>
  <si>
    <t>La Corporación dio cumplimiento a la exigencia legal y compromiso de seguridad y salud en el trabajo, consistente en la entrega de los Elementos de Protección Personal - EPP y elementos Covid – 19 para la protección de sus funcionarios y contratistas. Como producto de estas dotaciones sumado al cumplimiento de las demás medidas de bioseguridad se logró la realización del trabajo de forma segura y productiva. 
A corte 31 de diciembre del 2021 se dio cumplimiento del 100% de la meta de realizar el reporte anual de los Elementos de Protección Personal y Colectiva para una labor segura, garantizado la entrega de los EPP necesarios para el desarrollo de las labores presenciales y de trabajo en campo.</t>
  </si>
  <si>
    <t>Es importante señalar, que se evaluaron el 100% de los puntos puntos planificados para la actual vigencia, asimismo, durante el periodo 2021 se realizaron las adecuaciones derivadas del diagnóstico del periodo anterior.
Por consiguiente, la meta se logró en un 100% con la realización del estudio correspondiente a la medición de iluminación de las diferentes áreas de la Entidad. Lo anterior considerando que, conforme a la matriz de peligros y riesgos existentes, es el riesgo susceptible de medición.</t>
  </si>
  <si>
    <t>La meta se cumplió en un 100% logrando la capacitación y formación de los colaboradores que requieren competencia para trabajo en alturas los cuales se encuentra detallados en el informe oficial.</t>
  </si>
  <si>
    <t>La meta de la presente acción estratégica, de tener el informe anual con una valoración mínima de 90 sobre 100 puntos se cumplió en un 100% logrando mantener el Plan Estratégico de Seguridad Vial (PESV) actualizado que, cumple con los parámetros legales vigentes. Esto se refleja en la no ocurrencia de accidentes de trabajo de tipo vial y en el fortalecimiento de la cultura preventiva de la Entidad. Se desarrollaron todas las actividades planificadas en relación con los cinco componentes del sistema.</t>
  </si>
  <si>
    <t>Se formuló el Plan Estratégico de Tecnologías de la Información - PETI, el cual recoge las acciones estratégicas que permitan el desarrollo de las TIC dentro de la Corporación dando cumplimiento del 100% a la meta fijada para la vigencia 2021. Este plan visiona la implementación, modernización y actualización de los recursos tecnológicos, su mantenimiento y optimización, así como la implementación de estándares nacionales e internacionales para su adecuada gestión, tales como el Marco de Referencia de Arquitectura Empresarial definido por MinTIC, y la norma NTC-ISO 27001 para la gestión de la seguridad de la información. 
Todas sus acciones se encuentran formalizadas a través de su inclusión en el Plan de Acción Institucional 2020-2023 y los Planes de Acción Integrado 2020, 2021 y 2022.</t>
  </si>
  <si>
    <t xml:space="preserve">Se elaboró el proyecto para el Plan estratégico de Tecnologías de Información PETI 2020-2023. 
Sin embargo, esta acción estratégica no presenta avances en la vigencia 2021 debido a que no se adelantaron acciones asociadas a la divulgación de este. </t>
  </si>
  <si>
    <t xml:space="preserve">Es preciso mencionar que las licencias de software de la Corporación se vencen en los meses de Junio y Octubre de la vigencia 2021. 
Se realizó, a través de la Tienda Virtual del Estado Colombiano, la adquisición de software base de la CRA. Se adquirieron las licencias de Kaspersky Endpoint Security Cloud (Que incluye Kaspersky Security for Microsoft Office 365), Adobe Acrobat DC Pro y Adobe Sign In.
A corte 31 de diciembre de 2021 se presenta un avance del 70%, con respecto al 100% definido para esta vigencia. </t>
  </si>
  <si>
    <t>Con las estrategias  implementadas en lo corrido de la presente vigencia, a corte 31 de diciembre de 2021, la meta se cumplió en un 100%.
El logro de la meta se obtiene a través de la ejecucion de las siguientes 5 estrategias de comunicación:
I.	Estrategia de Divulgación y Visibilización de acciones institucionales.
II.	Estrategia de Crecimiento en Redes Sociales.
III.	Estrategia de Promoción de Imagen institucional.
IV.	Estrategia de Engagement (Marketing Online).
V.	Estrategia de relacionamiento con medios de comunicación.</t>
  </si>
  <si>
    <t>Se desarrollaron diferentes acciones para el crecimiento en redes sociales, en el período comprendido entre enero y diciembre de 2021, logrando un incremento total de 1.921 nuevos seguidores entre las tres prinicipales redes sociales, instagram, facebook y twitter.</t>
  </si>
  <si>
    <t>Las campañas institucionales y estrategias implementadas en las  tres redes sociales corporativas, han tenido una acogida muy por encima de la meta proyectada para el año 2021. El detalle de interacciones en cada una de las redes sociales se presenta a continuación:
	Facebook: 35.207interacciones
	Instagram: 32.705 interacciones
	Twitter: 3.605 interacciones
El total de interacciones en las tres redes sociales fue de 71.517 durante la vigencia 2021, logrando el cumplimiento de la meta.</t>
  </si>
  <si>
    <t>Cinco (05) Campañas institucionales en medios de comunicación tradicionales y nuevas tecnologías: 
1.	Nuevo Código de colores: Emisora Atlántico, emisoras ABC y redes sociales.
2.	Atlántico Respira Ambiente: Programa de TV regional Sucesos y redes sociales.
3.	Gestión 2020: Radios comunitarias y redes sociales.
4.	Tita y Titi te enseñan a cuidar el medio ambiente: Portal La Chachara y redes sociales. 
5.	La Nota Ambiental: Las Noticias de Telecaribe y redes sociales.</t>
  </si>
  <si>
    <t>Con la financiación del proyecto, Mantenimiento, limpieza, rectificación de cauce y protección de talud del k0+000 al k1 + 300 del canal de aguas lluvias "El Pantano" en el municipio de Manatí - Atlántico”, durante la vigencia 2021, se dio el cumplimiento en un 100% a la meta fijada de un (1) Proyecto financiado con recursos nacionales o internacionales para dicha vigencia.
Los recursos asignados para la ejecución del proyecto corresponden al Fondo Nacional Ambiental – FONAM, siendo estos del orden nacional. El valor aprobado para el proyecto fue de cinco mil doscientos veintiún millones ochocientos seis mil doscientos treinta y nueve pesos m.l ($5.221.806.239).</t>
  </si>
  <si>
    <t>Durante el año 2021, se radicaron catorce (14) proyectos ambientales en el Banco de Proyectos, de los cuales, a la fecha de cierre del presente informe de gestión, seis (6) tienen concepto de evaluación técnica, financiera y ambiental con concepto VIABLE, cuatro (4) corresponden a proyectos institucionales; es decir, formulados desde la Corporación que fueron presentados al Ministerio de Ambiente y Desarrollo Sostenible para viabilidad y asignación de recursos del FONAM y/o del Sistema General de Regalías y cuatro (4) se encontraban en proceso de revisión y /o evaluación por parte del equipo interdisciplinario evaluador del Banco de Proyectos de la CRA.</t>
  </si>
  <si>
    <t>Durante la vigencia 2021 se desarrollaron mesas de trabajo con el fin de establecer la ruta a seguir para crear una herramienta que articule desde la planeación, pasando por la evaluación hasta el seguimiento de los proyectos radicados en la entidad por actores externos y los proyectos formulados desde la Corporación.
A corte 31 de diciembre de 2021 no se cumplió con la meta programada, quedando pendiente para presentar en próxima vigencia y dar cumplimiento dentro del Plan de Acción Institucional 2020-2023.</t>
  </si>
  <si>
    <t>Durante la vigencia se celebró el Contrato No. 0000217 de 2021 con EDURED, el cual fue fudamental para realizar un cambio en la cultura de los funionarios para la gestión de documentos digitales y electrónicos, en consonancia con la política de “Cero Papel” del gobierno nacional e incursión en la estratégia digital de manejo de archivos para garantizar el trabajo en casa o remoto, cuando se requiera. Al entrar en operación el software de Gestión Documental ORFEO, se hace dimanica el proceso recepción, asignación, distribución y respuesta de la correspodencia. 
Tambien es importante destacar la renovación del Software contable (PCT), un paso adelante en la emisión de facturación electronica cumpliendo asi con la normativa y directrices emitidas por la DIAN. 
Con las acciones desarrolladas se tiene un avance en el indicador en un 100%.</t>
  </si>
  <si>
    <t>Con las acciones desarrolladas al 31 de diciembre del 2021, se puede evidenciar que la meta se ha cumplido al 100% en el mantenimiento de la pagina web/ intranet y subportales de la entidad como se observa en el informe oficial.</t>
  </si>
  <si>
    <t xml:space="preserve">A corte 31 de diciembre de 2021, la Corporación se encuentra en proceso de revisión de posibles acciones que permitan desarrollar la formulación e implementación del documento de política de seguridad y manejo de la información. A la fecha de cierre de vigencia no se tienen avances. </t>
  </si>
  <si>
    <t>Esta acción estratégica, a corte 31 de diciembre de 2021 se cumplió en el 50% establecido para la vigencia, representado en la actualización de la información cartográfica de MAGNA SIRGAS COLOMBIA al sistema único de coordenadas, teniendo en cuenta que esta es la nueva estandarización nacional.</t>
  </si>
  <si>
    <t>Se realizó ciclo de auditoría interna en el período del 29 de noviembre al 16 de diciembre de la vigencia 2021, de conformidad con el cronograma establecido entre la Dirección General, la Secretaria General y el equipo auditor. Por consiguiente, la meta a corte 31 de diciembre del 2021 tiene un cumplimiento del 100%.</t>
  </si>
  <si>
    <t>En la vigencia 2021 se cumplió con la meta programada, ello se logró con las actividades definidas en el Contrato No. 362 del 2020, suscrito con la empresa Mercadatos S.A, cuyo objeto es: "Prestación del servicio de almacenamiento, conservación, custodia, préstamo, y transporte de los acervos documentales de la Corporación Autónoma Regional del Atlántico C.R.A, según las necesidades y en cumplimiento de la ley 594 de 2000, el acuerdo 008 de 2014 y demás normas reglamentarias.
Actualmente se encuentra la información del archivo central de la Corporación en las bodegas del contratista, cumpliendo con todos los requerimientos exigidos por el Archivo General de la Nación para la adecuada protección y custodia de los documentos de la entidad, entre ellas: seguridad, medición de temperatura y humedad relativa, uso y manejo de extintores, alarmas contra incendio, personal especializado para el desarrollo de todas las actividades.</t>
  </si>
  <si>
    <t>Para la ejecución de esta acción estratégica se suscribió el Contrato el 227 del 2021 cuyo objeto es: “Prestar servicios para la implementación de la Cultura de la Gestión de Documentos Digitales y Electrónicos, en consonancia con la Política de “Cero Papel” del Gobierno Nacional e incursión en la Estrategia Digital de Manejo de Archivos para garantizar el trabajo en casa o remoto, cuando se requiera”.
A traves de estre Contrato, se dió cumplimiento a la meta de la vigencia 2021 de tener al menos el 20% de la documentación misional y estratégica digitalizada y certificada para fines probatorios, siendo esta superada, dado que la misma alcanzó un cumplimiento del 34%.</t>
  </si>
  <si>
    <t xml:space="preserve">Para este año 2021, se elaboró el instrumento archivístico denominado “Tabla de Control de acceso”, que es un instrumento de referencia que determina las agrupaciones documentales que serán objeto de uso, consulta y acceso por parte de usuarios internos y externos. Dicho instrumento archivistico creado, fue enviado al SGI para su revisión e ingreso al sistema, se adjunta evidencia del correo enviado y la Tabla, lo que representa un cumplimiento del 100% de la meta que mide esta acción estratégica. </t>
  </si>
  <si>
    <t>Durante la vigencia 2021 se actualizaron 3 instrumentos de gestión de la información, los cuales están colgados en la página de la entidad en el link de Transparencia y acceso a la información pública: 
http://www.crautonoma.gov.co/atencion-al-publico/transparencia-y-acceso-a-informacion-publica/gestion-documental/instrumentos-de-gestion-de-informacion-publica</t>
  </si>
  <si>
    <t>Durante el año 2021, se prestó apoyo a 4 archivos de gestión de la entidad así:
	Archivo de Subdirección de gestión ambiental: Con la organización de los expedientes de trámites ante autoridad ambiental.
	Archivo de Secretaria General con el grupo de Recursos Humanos: Con la elaboración de las hojas de control de las Historias Laborales inactivas.
	Archivo del área de la Subdirección Financiera: Apoyo mancomunado con el área ambiental para el saneamiento financiero de los expedientes de trámites ante autoridad ambiental.
	Subdirección de Planeación: Para la recepción, entrega, verificación y ajustes de las cajas de información en el proceso de digitalización.</t>
  </si>
  <si>
    <t>En lo corrido de la vigencia 2021, a corte 31 Diciembre de 2021 se encuentran actualizados los expedientes en un 90%, que corresponde a 1.424 cajas de expedientes organizadas de un total de 1.582 cajas. 
La 1.424 cajas de expedientes organizadas contienen alrededor de 9.968 carpetas y tienen las siguiente caracteristicas:
	1.416 son cajas x 200 
	8 son cajas x 300</t>
  </si>
  <si>
    <t>Los trámites jurídicos presentados se atendieron en su totalidad, dándole el impulso correspondiente, lo que permite indicar que se cumplió con el 100% de la atención del de los tramites procesales en cuento a las actuaciones administrativa y judiciales que los mismos demandan. 
En la tabla siguiente se relacionan los 53 procesos impetrados durante la anualidad 2021, que fueron atendidos, los cuales se encuentran discriminados  en el informe oficial.</t>
  </si>
  <si>
    <t xml:space="preserve">La política de prevención del daño antijurídico conlleva la solución de deficiencias administrativas o misionales que generan litigiosidad e implica el uso de recursos públicos para mitigar las causas de los eventos generadores de daño antijurídico, de aquí que la metodología a utilizar busque identificar el origen de las fallas y establecer el procedimiento a seguir para la formulación, evaluación e institucionalización de las acciones que se debe adoptar para reducir los riesgos y costos de enfrentar un proceso judicial.
En cumplimiento de lo anterior, en la Corporación se tomaron las acciones pertinentes que permitieran la formulación y posterior implementación de las políticas de prevención de daño antijurídico. </t>
  </si>
  <si>
    <t>El cumplimiento de la meta se registra con la cantidad de peticiones asignadas VS cantidad de peticiones resueltas, que permite realizar el calculo del indicador:
1.	Cantidad de peticiones asignadas: 1773
2.	Cantidad de peticiones resueltas: 1619
3.	PORCENTAJE PROMEDIO DE ATENCIÓN: 91,31%</t>
  </si>
  <si>
    <t>En el proceso de adquisicion de bienes y servicios que hace referencia a la Contratacion Estatal que realiza la Corporación, a corte 31 de diciembre del 2021 la meta registra un cumplimiento del 100% en la presente vigencia.
En este periodo, se recibió la solicitud de 288 requeimientos para trámites procesales contractuales por parte de la Dirección de la entidad, los cuales fueron atendidos y tramitados conforme al reglamento interno y al Estatuto de Contratación Estatal, hasta el perfeccionamiento de los respectivos Contratos. Las evidencias en relación con la información generada en los procesos contractuales, puede ser verificada en la plataforma del SECOP I (del Contrato 001 al 164) y en la plataforma del SECOP II (del Contrato 165 al 305), donde se encuentran los datos correspondientes a número de Contrato, objeto, valor, tiempo de ejecución y demás información requerida.</t>
  </si>
  <si>
    <t xml:space="preserve">Dentro de las actividades que contemplan el buen y eficiente funcionamiento de la infraestructura de la Corporación Autónoma Regional del Atlántico CRA, teniendo en cuenta los problemas de salud pública, pandemia del Covid -19, cuarentena, el trabajo remoto en casa, no se han podido llevar a cabo las auditorías energéticas a la CRA. 
Se realizaron los estudios previos y de mercado, a los cuales se les hicieron unas recomendaciones por parte de la oficina jurídica. Esta acción estratégica cuya meta era de realizar 2 auditorías energéticas en la vigencia 2021, no se alcanzó, por consiguiente, se ejecutará en la siguiente anualidad. </t>
  </si>
  <si>
    <t xml:space="preserve">A cierre 31 de diciembre del 2021, la meta establecida para la vigencia relacionada con el mantenimiento preventivo y correctivo de la infraestructura de la Corporación, alcanzó un 100% de su ejecución física. El cumplimiento de esta acción estratégica durante la vigencia 2021, tuvo como uno de los Contratos principales de mantenimiento de infraestructura física, el suscrito con la empresa DOCTOR HOUSE, antes mencionado. </t>
  </si>
  <si>
    <t>La Corporación cuenta con cuatro (4) vehículos tipo camioneta identificados con las placas: OQN 626, OQN 627, OQN 628 Y OQN 629, de los cuales, al finalizar la vigencia 2021, se encuentran funcionando en su totalidad, lo que representa un cumplimiento de la meta en un del 100% al cierre del año 2021.</t>
  </si>
  <si>
    <t>TOTAL GASTOS DE INVERSIÓN</t>
  </si>
  <si>
    <t xml:space="preserve">Programa 21. Sostenibilidad del recurso hídrico </t>
  </si>
  <si>
    <t>Proyecto 21.1. Sostenibilidad del recurso hídrico</t>
  </si>
  <si>
    <t xml:space="preserve">Proyecto 21.2. Caracterización, cuantificación y recuperación del recurso agua </t>
  </si>
  <si>
    <t xml:space="preserve">Proyecto 21.3. Gestión integral de los riesgos asociados al recurso hídrico </t>
  </si>
  <si>
    <t xml:space="preserve">Programa 22. Programa Sostenibilidad del recurso natural </t>
  </si>
  <si>
    <t>Proyecto 22.1. Biodiversidad y riqueza de los ecosistemas terrestres</t>
  </si>
  <si>
    <t xml:space="preserve">Proyecto 22.2.  Biodiversidad y riqueza de los ecosistemas marino costeros </t>
  </si>
  <si>
    <t xml:space="preserve">Proyecto 22.3. Estrategias regionales de conservación </t>
  </si>
  <si>
    <t xml:space="preserve">Programa 23. Programa Sostenibilidad democrática </t>
  </si>
  <si>
    <t xml:space="preserve">Proyecto 23.1. La educación ambiental como proceso de trasformación cultura para la sostenibilidad </t>
  </si>
  <si>
    <t xml:space="preserve">Proyecto 23.2.  La participación social como fundamento de la gestión ambiental territorial </t>
  </si>
  <si>
    <t xml:space="preserve">Proyecto 23.3. La diversidad etnocultural del Departamento del Atlántico como potencial estrategico para la sostenibilidad ambiental </t>
  </si>
  <si>
    <t>Proyecto 23.4. Participación para el seguimiento ODS municipales del componente ambiental</t>
  </si>
  <si>
    <t xml:space="preserve">Programa 24. Programa Sostenibilidad sectorial </t>
  </si>
  <si>
    <t>Proyecto 24.1. Equipamientos sostenibles</t>
  </si>
  <si>
    <t xml:space="preserve">Proyecto 24.2.  Por un departamento con energías renovables </t>
  </si>
  <si>
    <t>Proyecto 24.3. Territorios con planificación ambiental</t>
  </si>
  <si>
    <t>Proyecto 24.4. Prevención, control y monitoreo del aire y suelo</t>
  </si>
  <si>
    <t xml:space="preserve">Proyecto 24.5. Instrumentos económicos y de control ambiental </t>
  </si>
  <si>
    <t xml:space="preserve">Proyecto 24.6. Comunidades y territorios con conocimiento y adaptación  a la gestión del riesgo </t>
  </si>
  <si>
    <t xml:space="preserve">Proyecto 24.7. Comunidades y territorios con conocimiento y adaptacion cambio climatico </t>
  </si>
  <si>
    <t xml:space="preserve">Programa 25. Programa Sostenibilidad Institucional </t>
  </si>
  <si>
    <t xml:space="preserve">Proyecto 25.1. Gestión humama. Personla competente para la sostenibilidad ambiental en el Departamento </t>
  </si>
  <si>
    <t xml:space="preserve">Proyecto 25.2. Seguridad y salud en el trabajo </t>
  </si>
  <si>
    <t xml:space="preserve">Proyecto 25.3. Tecnología de punta para la autoridad ambiental </t>
  </si>
  <si>
    <t xml:space="preserve">Proyecto 25.4. Comunicaciones. Fortlacimiento de la presencia institucional en medios de comunicación </t>
  </si>
  <si>
    <t xml:space="preserve">Proyecto 25.5. Banco de proyectos,Creatividad para la ejecución de proyectos ambientales </t>
  </si>
  <si>
    <t xml:space="preserve">Proyecto 25.6. Sistemas de información ambiental </t>
  </si>
  <si>
    <t>Proyecto 25.7. Sistemas de gestión integrados</t>
  </si>
  <si>
    <t>Proyecto 25.8. Gestión Documental y archivo.</t>
  </si>
  <si>
    <t xml:space="preserve">Proyecto 25.9. Soporte juridico. Una entidad que cuida sus recursos  </t>
  </si>
  <si>
    <t>Proyecto 25.10. Gestión de infraestructura. Condiciones adecuadas para prestar un mejor servicio</t>
  </si>
  <si>
    <t>Programa 26. Programa Deficit vigencias anteriores</t>
  </si>
  <si>
    <t>Proyecto 26.1. Proyecto Vigencias anteriores</t>
  </si>
  <si>
    <t>TOTAL PRESUPUESTO DE GASTOS</t>
  </si>
  <si>
    <t>Germán Escaf Payares -Tayro Pimienta</t>
  </si>
  <si>
    <t>Subdirección de Planeación - Subdirección Financiera</t>
  </si>
  <si>
    <t xml:space="preserve">Subdirector de Planeación - Subdirector Financiero (e) </t>
  </si>
  <si>
    <t>gescaf@crautonoma.gov.co -  jbohorquez@crautonoma.gov.co</t>
  </si>
  <si>
    <t>(57-5) 3492482 - 3492686</t>
  </si>
  <si>
    <t>No aplica</t>
  </si>
  <si>
    <r>
      <t>(19) PORCENTAJE DE AVANCE DE LOS RECURSOS OBLIGADOS ((18/</t>
    </r>
    <r>
      <rPr>
        <b/>
        <sz val="10"/>
        <color rgb="FFFF0000"/>
        <rFont val="Arial Narrow"/>
        <family val="2"/>
      </rPr>
      <t>15</t>
    </r>
    <r>
      <rPr>
        <b/>
        <sz val="10"/>
        <rFont val="Arial Narrow"/>
        <family val="2"/>
      </rPr>
      <t>)*100)</t>
    </r>
  </si>
  <si>
    <t>Número de proyectos con apoyo en la implementación de PTARS</t>
  </si>
  <si>
    <t xml:space="preserve">Teniendo en cuenta la experiencia de vigencias anteriores, en la actualidad, la Corporación, a través de su Red de Amigos de la Fauna, presta la atención vital a las especies decomisadas en el Departamento, brindando una respuesta inmediata para el rescate, decomiso y tratamiento de especies faunísticas en los municipios del Atlántico.  
Para la atención de este indicador se propone diseñar una estrategia que contribuya a la prevención al tráfico y consumo ilegal de especies nativas de fauna y flora en estado de amenaza en vías de jurisdicción de la CRA, mediante el uso de productos y herramientas pedagógicas multiformato para la protección y conservación de especies nativas de fauna y en estado de amenaza que puedan ser integrados tanto a las acciones de sensibilización y concientización, como a procesos de enseñanza en instituciones  educativas priorizadas y a diferentes canales de comunicación.
La meta no presenta avance en la vigencia 2021. </t>
  </si>
  <si>
    <t xml:space="preserve">En la vigencia 2021 acorde con la meta establecida, se da cumplimiento del 20% de la Red de voz y datos corporativos y servidores virtualizados implementados programados para dicha vigencia.
Con lo relacionado a Red de voz Se elaboró revisión con el proveedor de telefonía Movistar, para los servicios de comunicaciones a través de WAN, implementando un Gateway de voz, troncal SIP, hardphone y softphone, lo que permitiría que los computadores y celulares de los funcionarios sirviesen de extensiones a través de softphones (Apps de voz). </t>
  </si>
  <si>
    <t xml:space="preserve">La Subdirección de Gestión Ambiental, al cierre de la vigencia 2021 adelantó el proceso de planificación para realizar la Feria de negocios verdes, éstas actividades  se llevaron  a cabo durante la vigencia para ser presentada en el centro Comercial Buenavista 2 de la ciudad de Barranquilla, como una estrategia de promoción, divulgación y realización de Negocios Verdes en el Departamento del Atlántico, la feria se desarrolló en el marco del Convenio 004 de 2021 suscrito con la alianza colombiana de instituciones públicas de educación superior - RED SUMMA. </t>
  </si>
  <si>
    <t>La Corporación contrató la ejecución del programa comunitario de medida de adaptación al cambio climatico basado en la proteccion de las zonas abastecedoras del recurso hídrico como ecosistemas estratégicos y en cumplimiento a las acciones de manejo del POMIUAC- RIO MAGDALENA, en el cual entre sus actividades se encuentra el desarrollo de mesas de trabajo con las comunidades para la revisión de las acciones establecidas en el POMIUAC, presenta una ejecucion del 50%.</t>
  </si>
  <si>
    <t>En marco del Contrato No. 00375 de 2020, cuyo objeto es: “Elaborar el plan de manejo de la ciénaga de mallorquin y la actualización de los estudios para el manejo integrado de los manglares del departamento del atlántico en cumplimiento de lo establecido en el plan de acción institucional 2020-2023”, la meta tuvo cumplimiento del 100% en la vigencia 2021</t>
  </si>
  <si>
    <t>Con la actualización permanente y reporte de la información en el SIAC, la meta registra un cumplimiento del 100% durante la vigencia 2021.</t>
  </si>
  <si>
    <t>Teniendo en cuenta que para la vigencia 2021, se tiene como meta  realizar una (1) acción  de manejo para la adopción e implementación de la Unidad Ambiental Costera, esta se cumplió en un 100% con  una jornada de capacitación sobre la Consulta Previa de este tipo de instrumentos de ordenación, realizada por la Subdirección de Consulta Previa del Ministerio del Interior, la cual se llevó a cabo el día 23 de abril de 2021, organizada por la Corporación Autónoma Regional del Magdalena – CORPAMAG y dirigida a los miembros de la UAC RIO MAGDALENA y de la UAC VERTIENTE NORTE.</t>
  </si>
  <si>
    <t>2.3.1.7. Formular e implementar actividades de protección y recuperación de las zonas de acuiferos ubicadas en las áreas protegidas, para prevenir y mitigar el impacto negativo en el recurso hídrico</t>
  </si>
  <si>
    <t>A corte 31 de Diciembre de 2021, la meta registra un avance del 95,65%, representado en las visitas de seguimiento realizadas a los 22 municipios del departamento.
Es importante mencionar que, la CRA tiene jurisdicción en el área rural del distrito de Barranquilla; sin embargo, el PGIRS del distrito en su mayoría va dirigido al área urbana del mismo, razón por la cual el seguimiento ambiental del instrumento es realizado por EPA Barranquilla Verde. En consecuencia, se pondrá a consideración esta situación para solicitar el ajuste a la meta programada.</t>
  </si>
  <si>
    <t xml:space="preserve">A corte de 31 de diciembre del 2021 se cumplió la meta en el 100%, para lograrlo, se realizó la adición No.1 al Contrato 367 con fecha 31 Mayo 2021 cuyo objeto es:“Adquisición, instalacion y configuraciòn de equipos de cómputos, escaneres e impresoras de última tecnología con el objeto de iniciar el reemplazo de los equipos obsoletos, de acuerdo a las especificaciones técnicas descritas en anexo técnico; incluye servicios complementarios, a todo costo, por mano de obra certificada”.
Lo anterior, con el fin de garantizar la renovación del 100% de los equipos de cómputo y periféricos de la CRA para  los funcionarios. Dicha adición permitió adquirir 33 equipos de cómputo y una impresora adicional, con lo que se renovó al 100% el inventario de tecnología para usuario final. </t>
  </si>
  <si>
    <r>
      <rPr>
        <b/>
        <sz val="10"/>
        <rFont val="Arial Narrow"/>
        <family val="2"/>
      </rPr>
      <t xml:space="preserve">VIGENCIA 2021: </t>
    </r>
    <r>
      <rPr>
        <sz val="10"/>
        <rFont val="Arial Narrow"/>
        <family val="2"/>
      </rPr>
      <t xml:space="preserve">Con la celebración del Adicional No. 1 del  Contrato No. 377   suscrito el 27 de mayo de 2021, cuyo objeto contractual es: “Obras de mantenimiento de las estructuras de regulación hidrica el porvenir y villarosa, del Embalse el Guajaro, departamento del Atlantico” y, con las acciones desarrolladas para las obras de mantenimiento de las estructuras de regulación hídrica el Porvenir y Villarosa, del embalse el Guájaro se registra un avance del 87% frente a la meta programada para la vigencia, la cual es de un (1) mantenimiento realizado.
</t>
    </r>
    <r>
      <rPr>
        <b/>
        <sz val="10"/>
        <rFont val="Arial Narrow"/>
        <family val="2"/>
      </rPr>
      <t>REZAGO 2020:</t>
    </r>
    <r>
      <rPr>
        <sz val="10"/>
        <rFont val="Arial Narrow"/>
        <family val="2"/>
      </rPr>
      <t xml:space="preserve"> Con la suscripción y ejecución del contrato Contrato No. 377  de 2020 se dío cumplimiento a esta meta. Se desarrollaron actividades de obras civiles (pararrayos, pinturas, etc); iluminación perimetral, sistema de vigilancia y protección, entre otros.</t>
    </r>
  </si>
  <si>
    <r>
      <rPr>
        <b/>
        <sz val="10"/>
        <rFont val="Arial Narrow"/>
        <family val="2"/>
      </rPr>
      <t>VIGENCIA 2021:</t>
    </r>
    <r>
      <rPr>
        <sz val="10"/>
        <rFont val="Arial Narrow"/>
        <family val="2"/>
      </rPr>
      <t xml:space="preserve"> Al cierre del periodo se cuenta con 51 PUEAA aprobados, logrando un cumplimiento del 52% del 60% programado para la meta del año 2021, lo que corresponde a un cumplimiento del 86,7%.
</t>
    </r>
  </si>
  <si>
    <t>Se realizó seguimiento a los 51 PUEAA aprobados en la vigencia 2021, los cuales se encuentran incluidos en las 164 concesiones (De las cuales 1 fue derogada).</t>
  </si>
  <si>
    <r>
      <rPr>
        <b/>
        <sz val="10"/>
        <rFont val="Arial Narrow"/>
        <family val="2"/>
      </rPr>
      <t xml:space="preserve">VIGENCIA 2021: </t>
    </r>
    <r>
      <rPr>
        <sz val="10"/>
        <rFont val="Arial Narrow"/>
        <family val="2"/>
      </rPr>
      <t xml:space="preserve"> A través del Convenio No.003 del 2021  celebrado para aunar esfuerzos administrativos, técnicos y financieros a fin de fortalecer la inclusión de la dimensión ambiental en la educación formal y la estrategia de economía circular en el departamento del Atlántico, la CRA brindó asistencia técnica a 65 PRAE; dando cumplimiento al 100% de la meta programada para la vigencia 2021 (50 PRAE).
</t>
    </r>
    <r>
      <rPr>
        <b/>
        <sz val="10"/>
        <rFont val="Arial Narrow"/>
        <family val="2"/>
      </rPr>
      <t>REZAGO 2020:</t>
    </r>
    <r>
      <rPr>
        <sz val="10"/>
        <rFont val="Arial Narrow"/>
        <family val="2"/>
      </rPr>
      <t xml:space="preserve"> Se cumple el 100% del rezago de la vigencia 2020 con la asistencia técnica a 15 PRAE, a traves del convenio antes mencionado.
</t>
    </r>
  </si>
  <si>
    <r>
      <rPr>
        <b/>
        <sz val="10"/>
        <rFont val="Arial Narrow"/>
        <family val="2"/>
      </rPr>
      <t xml:space="preserve">VIGENCIA 2021: </t>
    </r>
    <r>
      <rPr>
        <sz val="10"/>
        <rFont val="Arial Narrow"/>
        <family val="2"/>
      </rPr>
      <t xml:space="preserve">A través del Convenio No.003 del 2021  celebrado para aunar esfuerzos administrativos, técnicos y financieros a fin de fortalecer la inclusión de la dimensión ambiental en la educación formal y la estrategia de economía circular en el departamento del Atlántico, la Corporación fortaleció veinticinco (25) Semilleros de Investigación, Grupos Ecológicos o Clubes de Ciencia y dinamizadores ambientales en los municipios del departamento del Atlántico, de los cuales, veinte (20) semilleros corresponden a la vigencia 2021.
</t>
    </r>
    <r>
      <rPr>
        <b/>
        <sz val="10"/>
        <rFont val="Arial Narrow"/>
        <family val="2"/>
      </rPr>
      <t xml:space="preserve">REZAGO 2020: </t>
    </r>
    <r>
      <rPr>
        <sz val="10"/>
        <rFont val="Arial Narrow"/>
        <family val="2"/>
      </rPr>
      <t xml:space="preserve">Se cumple el 100% del rezago  con el fortalecimiento de  cinco (5) semilleros de investigación descrito anteriormente en el Convenio 003. </t>
    </r>
  </si>
  <si>
    <r>
      <rPr>
        <b/>
        <sz val="10"/>
        <rFont val="Arial Narrow"/>
        <family val="2"/>
      </rPr>
      <t>VIGENCIA 2021</t>
    </r>
    <r>
      <rPr>
        <sz val="10"/>
        <rFont val="Arial Narrow"/>
        <family val="2"/>
      </rPr>
      <t xml:space="preserve">: A través del Contrato No. 00153 del 30 de marzo del 2021 cuyo objeto es: Prestación de servicios profesionales y de apoyo a la gestión para desarrollar un programa de sensibilización para fortalecer en la comunidad el conocimiento ambiental sobre el departamento del Atlántico, a través de estrategias de comunicación, educación ambiental y del acompañamiento apoyo a los PROCEDA, apoyamos e implementamos 15 Proyectos Ciudadanos de Educación Ambiental en el Departamento, de los cuales 10 corresponden a la vigencia 2021 y  para </t>
    </r>
    <r>
      <rPr>
        <b/>
        <sz val="10"/>
        <rFont val="Arial Narrow"/>
        <family val="2"/>
      </rPr>
      <t>REZAGO 2020</t>
    </r>
    <r>
      <rPr>
        <sz val="10"/>
        <rFont val="Arial Narrow"/>
        <family val="2"/>
      </rPr>
      <t xml:space="preserve">  corresponden 5 proyectos dando cumplimientoal 100% de este.</t>
    </r>
  </si>
  <si>
    <r>
      <rPr>
        <b/>
        <sz val="10"/>
        <rFont val="Arial Narrow"/>
        <family val="2"/>
      </rPr>
      <t xml:space="preserve">VIGENCIA 2021: </t>
    </r>
    <r>
      <rPr>
        <sz val="10"/>
        <rFont val="Arial Narrow"/>
        <family val="2"/>
      </rPr>
      <t xml:space="preserve">Para dar cumplimiento a la meta de apoyar la implementación de dos (2) proyectos sobre gestión del riesgo propuestos por los CMGR, la Corporación celebró el contrato No.152 del 30 de marzo del 2021 cuyo objeto es: Prestación de servicios profesionales y de apoyo a la gestión para desarrollar estrategias educativas ambientales para la construcción de una cultura de prevención y gestión del riesgo en instituciones educativas oficiales del departamento, así como el apoyo a los proyectos propuestos por los CMGR. En marco del contrato señalado, se construyó una base de datos de los consejos municipales de Gestión del Riesgo de municipios del Atlántico. No se logró el cumplimiento de la meta; sin embargo, al cierre del informe de gestión se tiene un avance del 80% de la misma, a la cual se dará cumplimiento en el primer semestre de la siguiente vigencia.
</t>
    </r>
    <r>
      <rPr>
        <b/>
        <sz val="10"/>
        <rFont val="Arial Narrow"/>
        <family val="2"/>
      </rPr>
      <t>REZAGO 2020:</t>
    </r>
    <r>
      <rPr>
        <sz val="10"/>
        <rFont val="Arial Narrow"/>
        <family val="2"/>
      </rPr>
      <t xml:space="preserve"> La meta programada para la vigencia 2020 no presenta avances dado que presupuestalmente no ha sido posible la contratación que permita dar cumplimiento a la misma. Se considerará la posibilidad de reprogramar la meta .</t>
    </r>
  </si>
  <si>
    <r>
      <rPr>
        <b/>
        <sz val="10"/>
        <rFont val="Arial Narrow"/>
        <family val="2"/>
      </rPr>
      <t>VIGENCIA 2021 y REZAGO 2020</t>
    </r>
    <r>
      <rPr>
        <sz val="10"/>
        <rFont val="Arial Narrow"/>
        <family val="2"/>
      </rPr>
      <t>: En marco del Contrato N°0149 del 29 de marzo del 2021, cuyo objeto es: Prestación de servicios profesionales y de apoyo a la gestión para desarrollar una estrategia de educación ambiental para el fortalecimiento a los jóvenes indígenas, Room y NARP del departamento del Atlántico, en el rescate de su cultura ancestral ambiental, así como fomentar el desarrollo integral en la función de la mujer como dinamizadora ambiental. Con el contrato se dió cumplimiento a la meta de rezago de la vigencia 2020 y a la meta de la vigencia 2021 ejecutando los dos  (2) siguientes proyectos de  emprendimiento:
1. Comunidad NARP: Productos ancestrales derivados del millo, Fabricación de accesorios tejidos y bordados, Platos ancestrales de la yuca. 
2. Etnia indígena: Artesanías en tejido crochet, totumo y fusionadas, artesanías con los tejidos, acabados en totumo y otras variedades de productos propios, y gastronomía local como los pasteles de Pital de Megua.</t>
    </r>
  </si>
  <si>
    <r>
      <t xml:space="preserve">Con la ejecución del Contrato N°00149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 se da cumplimiento a la meta de rezago 2020 y a la meta de la vigencia 2021.
</t>
    </r>
    <r>
      <rPr>
        <b/>
        <sz val="10"/>
        <rFont val="Arial Narrow"/>
        <family val="2"/>
      </rPr>
      <t>VIGENCIA 2021:</t>
    </r>
    <r>
      <rPr>
        <sz val="10"/>
        <rFont val="Arial Narrow"/>
        <family val="2"/>
      </rPr>
      <t xml:space="preserve"> Capacitación en Fauna y Flora orientada a la Gastronomía, Jóvenes NARP - Municipio de Palmar de Varela.
Como culminación del proceso de asesoramiento de los emprendimientos y unidades de negocio se desarrolló una feria en la cual se presentaron al público en general las unidades de negocios de los grupos de jóvenes indígenas, NARP y Rrom y los emprendimientos de los grupos de mujeres que participaron del proyecto.
</t>
    </r>
    <r>
      <rPr>
        <b/>
        <sz val="10"/>
        <rFont val="Arial Narrow"/>
        <family val="2"/>
      </rPr>
      <t xml:space="preserve">REZAGO 2020: </t>
    </r>
    <r>
      <rPr>
        <sz val="10"/>
        <rFont val="Arial Narrow"/>
        <family val="2"/>
      </rPr>
      <t xml:space="preserve">Capacitación en Fauna y Flora orientada a la Medicina Ancestral Jóvenes Indígenas - Municipio de Puerto Colombia.   
</t>
    </r>
  </si>
  <si>
    <r>
      <rPr>
        <b/>
        <sz val="10"/>
        <rFont val="Arial Narrow"/>
        <family val="2"/>
      </rPr>
      <t>VIGENCIA 2021 y REZAGO 2020:</t>
    </r>
    <r>
      <rPr>
        <sz val="10"/>
        <rFont val="Arial Narrow"/>
        <family val="2"/>
      </rPr>
      <t xml:space="preserve"> A través del Contrato N°00149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 se desarrollaron acciones para el fortalecimiento de los saberes y prácticas tradicionales ambientales de las comunidades indígenas y ROM del departamento se da cumplimiento a las acciones programadas para la vigencia 2021 y de rezago 2020.
En marco del Contrato mencionado, desarrollamos capacitaciones en temas tales como: Fauna y flora orientadas a la medicina ancestral, manifestaciones culturales entre otras de rescate de la cultura de las etnias. </t>
    </r>
  </si>
  <si>
    <r>
      <rPr>
        <b/>
        <sz val="10"/>
        <rFont val="Arial Narrow"/>
        <family val="2"/>
      </rPr>
      <t>VIGENCIA 2021 y REZAGO 2020:</t>
    </r>
    <r>
      <rPr>
        <sz val="10"/>
        <rFont val="Arial Narrow"/>
        <family val="2"/>
      </rPr>
      <t xml:space="preserve"> Con capacitaciones dirigidas a 90 jóvenes NARP desarrolladas en tema de fauna y flora, medicina ancestral, rescate de la cultura de la etnia, en marco del Contrato N°0149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 se cumplió al 100%  la meta de la vigencia 2021 y rezago 2020 en un 100%
Las acciones para lograr los objetivos propuestos fueron desarrolladas con representantes de los siguientes municipios: Juan de Acosta, Piojó, Palmar de Varela, Polonuevo, Candelaria, Manatí. </t>
    </r>
  </si>
  <si>
    <r>
      <rPr>
        <b/>
        <sz val="10"/>
        <rFont val="Arial Narrow"/>
        <family val="2"/>
      </rPr>
      <t>VIGENCIA 2021 y REZAGO 2020:</t>
    </r>
    <r>
      <rPr>
        <sz val="10"/>
        <rFont val="Arial Narrow"/>
        <family val="2"/>
      </rPr>
      <t xml:space="preserve"> Las acciones se desarrollaron en marco del Contrato N°0149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 permitieron lograr el cumplimiento del rezago 2020 como la meta programada para la vigencia 2021. 
Para el cumplimiento de la meta se  desarrollaron las asesorías y apoyo a las iniciativas productivas surgidas desde las comunidades NARP del departamento del Atlántico; dichas iniciativas incluyen productos gastronómicos y artesanales, productos basados en las plantas y medicina ancestral natural como jabones, elaboración  y comercialización de productos cuyos principios activos son provenientes de plantas, cultivo, transformación y comercialización de plantas medicinales utilizadas para la medicina tradicional de uso externo (aceites, tinturas, jabones, ungüentos, talcos, planta) condimentos y la comida tradicional de las comunidades afros, elaboración de artesanías. Elaboración de dulces típicos, (yuca, ñame, papaya). gastronomía típica.
</t>
    </r>
  </si>
  <si>
    <r>
      <rPr>
        <b/>
        <sz val="10"/>
        <rFont val="Arial Narrow"/>
        <family val="2"/>
      </rPr>
      <t>REZAGO 2020:</t>
    </r>
    <r>
      <rPr>
        <sz val="10"/>
        <rFont val="Arial Narrow"/>
        <family val="2"/>
      </rPr>
      <t xml:space="preserve"> Se cumplió la meta en rezago en marco del Contrato N°375 de 2020, cuyo objeto es: “Elaborar el plan de manejo de la ciénaga de mallorquin y la actualización de los estudios para el manejo integrado de los manglares del departamento del Atlántico en cumplimiento de lo establecido en el Plan de Acción Institucional 2020-2023”, la meta tuvo cumplimiento del 100% en la vigencia 2021 para la meta programada en el 2020.</t>
    </r>
  </si>
  <si>
    <r>
      <rPr>
        <b/>
        <sz val="10"/>
        <rFont val="Arial Narrow"/>
        <family val="2"/>
      </rPr>
      <t xml:space="preserve">VIGENCIA 2021: </t>
    </r>
    <r>
      <rPr>
        <sz val="10"/>
        <rFont val="Arial Narrow"/>
        <family val="2"/>
      </rPr>
      <t xml:space="preserve">La meta se cumplió al 100% a través de varias intervenciones realizadas en los humedales asociados a la vertiente occidental del Río Magdalena, a través de los siguientes contratos y convenios (Página 40 del informe de gestión):  
1. Convenio No. 001 del 31 de marzo de 2021, celebrado con el Municipio de Santo Tomás para el desarrollo del Proyecto “Canalización del arroyo puente venancio en el municipio de Santo Tomás departamento del Atlantico”. Ejecución 70% a diciembre 31 de 2021.
2. Adicional No. 01 al Contrato de Obra No. 0000368 de 2020, objeto: Realizar la limpieza de vegetación acuática en las áreas de las estructuras hidráulica construida en el marco del proyecto de regulación hídrica de las ciénagas de Sabanagrande, Santo Tomás y Palmar de Varela - departamento del Atlantico. Ejecución 100%. Con lo cual se da cumplimiento al </t>
    </r>
    <r>
      <rPr>
        <b/>
        <sz val="10"/>
        <rFont val="Arial Narrow"/>
        <family val="2"/>
      </rPr>
      <t>REZAGO 2020.</t>
    </r>
    <r>
      <rPr>
        <sz val="10"/>
        <rFont val="Arial Narrow"/>
        <family val="2"/>
      </rPr>
      <t xml:space="preserve">
3.Convenio Interdaministrativo No. 00008 de 2021, con el municipio de Palmar de Varela. Objeto “Aunar esfuerzos técnicos, administrativos y financieros para realizar el mantenimiento, limpieza y remoción de sedimentos del arroyo de la calle 6 entre carreras 9 y 12 del municipio de Palmar de Varela en el departamento del Atlántico” – fecha de suscripción 11 de octubre de 2021. Ejecución 100%.
</t>
    </r>
  </si>
  <si>
    <t>Porcentaje de avance en el pago de deficit fiscal</t>
  </si>
  <si>
    <r>
      <rPr>
        <b/>
        <sz val="10"/>
        <rFont val="Arial Narrow"/>
        <family val="2"/>
      </rPr>
      <t>REZAGO 2020:</t>
    </r>
    <r>
      <rPr>
        <sz val="10"/>
        <rFont val="Arial Narrow"/>
        <family val="2"/>
      </rPr>
      <t xml:space="preserve"> Se ejecutó la meta 100% de un inventario de los corregimientos que carecen de saneamiento a traves del Contrato 379 de 2020.</t>
    </r>
  </si>
  <si>
    <r>
      <rPr>
        <b/>
        <sz val="10"/>
        <rFont val="Arial Narrow"/>
        <family val="2"/>
      </rPr>
      <t>REZAGO 2020</t>
    </r>
    <r>
      <rPr>
        <sz val="10"/>
        <rFont val="Arial Narrow"/>
        <family val="2"/>
      </rPr>
      <t xml:space="preserve">: Se ejecutó el  Contrato 363 de 2020 con el cual se da cumplimiento al 100% de la meta programada. </t>
    </r>
  </si>
  <si>
    <r>
      <rPr>
        <b/>
        <sz val="10"/>
        <rFont val="Arial Narrow"/>
        <family val="2"/>
      </rPr>
      <t>REZAGO 2020</t>
    </r>
    <r>
      <rPr>
        <sz val="10"/>
        <rFont val="Arial Narrow"/>
        <family val="2"/>
      </rPr>
      <t>: Se ejecutó Contrato No. 364 del 2020 con el cual se da cumplimiento a la meta programada para dicha vigencia.</t>
    </r>
  </si>
  <si>
    <r>
      <rPr>
        <b/>
        <sz val="10"/>
        <rFont val="Arial Narrow"/>
        <family val="2"/>
      </rPr>
      <t>REZAGO 2020:</t>
    </r>
    <r>
      <rPr>
        <sz val="10"/>
        <rFont val="Arial Narrow"/>
        <family val="2"/>
      </rPr>
      <t xml:space="preserve"> Se ejecutó Contrato No. 351 del 2020 con el cual se da cumplimiento a la meta programada para dicha vigencia.</t>
    </r>
  </si>
  <si>
    <t>(28)
INDICADOR ODS AL QUE LE APORTA</t>
  </si>
  <si>
    <r>
      <t>En el marco del Contrato No. 0000155 de 2021 cuyo objeto es: “Desarrollar un programa de educación ambiental que influya en la reducción de procesos de transformación y pérdida de ecosistemas especialmente influenciados por el cambio climático en las áreas protegidas del Departamento del Atlántico”</t>
    </r>
    <r>
      <rPr>
        <b/>
        <sz val="10"/>
        <rFont val="Arial Narrow"/>
        <family val="2"/>
      </rPr>
      <t xml:space="preserve">  se da cumplimiento a la meta  con la intervención de las fuentes hidricas en Piojo, Repelón y Usiacurí.</t>
    </r>
    <r>
      <rPr>
        <sz val="10"/>
        <rFont val="Arial Narrow"/>
        <family val="2"/>
      </rPr>
      <t xml:space="preserve">
Al cierre del informe se vienen realizando acciones de sensibilización a poblaciones de los municipios de Usiacurí, Piojo Repelón y actores claves en la conservación de áreas estratégicas ambientales.</t>
    </r>
  </si>
  <si>
    <t>Las acciones desarrolladas permiten reportar un cumplimiento de la meta a 31 de diciembre del 2021, toda vez que, la entidad mantiene vigente la certificación del sistema de gestión de la calidad según NTC ISO 9001:2015, bajo el ente certificador ICONTEC.</t>
  </si>
  <si>
    <t>Se realizarón en total 326 actividades de mantenimientos a la infraestructura,  asociadas a grantizar la funcionalidad fisica de la Entidad dando cumplimiento a la meta en un 100% para la vigencia 2021.</t>
  </si>
  <si>
    <t>Dentro de las acciones de reducción del riesgo de desastre y articulados con las acciones de conservación del bosque seco del Departamento se requiere contar con protocolos que permitan atender efectivamente cualquier en las  areas protegidas, para contr con dichos protocolos, en marco del Contrato No. 0000154 del 30 de marzo del 2021. La Corporación implementó  protocolos para la atención de incendios en cobertura vegetal en áreas protegidas del departamento, ubicadas particularmente en el municipio de Piojó ( El Palomar y Los Charcones), a través de la elaboración y socialización de dos protocolos, dando cumplimiento al 100% de la meta programada para la vigencia 2021.</t>
  </si>
  <si>
    <t>CORPORACIÓN AUTÓMA REGIONAL DE XXXXX</t>
  </si>
  <si>
    <t xml:space="preserve">RECURSOS VIGENCIA :  </t>
  </si>
  <si>
    <t>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t>
  </si>
  <si>
    <t>-</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</si>
  <si>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</si>
  <si>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Son aquellos establecidos como impuestos y estampillas por la ley. Estos representan la obligación de hacer un pago, sin que exista una retribución particular por parte del Estado.</t>
  </si>
  <si>
    <t>Corte Constitucional, Sentencia C-545/1994.</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</si>
  <si>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</si>
  <si>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</si>
  <si>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</si>
  <si>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t>
  </si>
  <si>
    <t>Sobretasa ambiental - Peajes (vigencia actual)</t>
  </si>
  <si>
    <t>Sobretasa ambiental - Peajes (vigencia anterior)</t>
  </si>
  <si>
    <t>Participación de intereses de mora sobre la sobretasa ambiental-peajes</t>
  </si>
  <si>
    <t>Son las transferencias de recursos de los intereses recaudados por la mora en el pago de la sobretasa ambiental. Los intereses que se causen por mora en el pago del Impuesto Predial Unificado, también se causan para el pago y transferencia de la sobretasa ambiental.</t>
  </si>
  <si>
    <t>Decreto Reglamentario 1339 de 1994, artículo 2.</t>
  </si>
  <si>
    <t>Participación de intereses de mora sobre la sobretasa ambiental-peajes (vigencia actual)</t>
  </si>
  <si>
    <t>Participación de intereses de mora sobre la sobretasa ambiental-peajes (vigencia anterior)</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</si>
  <si>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</si>
  <si>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</si>
  <si>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t>
  </si>
  <si>
    <t xml:space="preserve">Corte Constitucional, Sentencia C-545/1994.
Constitución política Art. 338 </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</si>
  <si>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</si>
  <si>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t>
  </si>
  <si>
    <t xml:space="preserve"> Ley 99 de 1993, art. 45</t>
  </si>
  <si>
    <t>Contribución sector eléctrico - Hidroeléctrica</t>
  </si>
  <si>
    <t>Contribución sector eléctrico - Hidroeléctrica (vigencia actual)</t>
  </si>
  <si>
    <t>Contribución sector eléctrico - Hidroeléctrica (vigencia anterior)</t>
  </si>
  <si>
    <t>Contribución sector eléctrico - Termoeléctrica</t>
  </si>
  <si>
    <t>Contribución sector eléctrico - Termoeléctrica (vigencia actual)</t>
  </si>
  <si>
    <t>Contribución sector eléctrico - Termoeléctrica (vigencia anterior)</t>
  </si>
  <si>
    <t>Contribución sector eléctrico - Energia Alternativa</t>
  </si>
  <si>
    <t>Contribución sector eléctrico - Energia Alternativa (vigencia actual)</t>
  </si>
  <si>
    <t>Contribución sector eléctrico - Energia Alternativa (vigencia anterior)</t>
  </si>
  <si>
    <t>Participación de intereses de mora sobre contribución sector eléctrico</t>
  </si>
  <si>
    <t>Participación de intereses de mora sobre contribución sector eléctrico (vigencia actual)</t>
  </si>
  <si>
    <t>Participación de intereses de mora sobre contribución sector eléctrico (vigencia anterior)</t>
  </si>
  <si>
    <t>Tasas</t>
  </si>
  <si>
    <t>Tasas retributivas y compensatorias</t>
  </si>
  <si>
    <t xml:space="preserve">Corresponden a las tasas retributivas por la utilización directa o indirecta de la atmósfera, del agua y del suelo, para introducir o arrojar desechos o desperdicios agrícolas, mineros o industriales, aguas negras o servidas de cualquier origen, humos, vapores y sustancias nocivas que sean resultado de actividades antrópicas o propiciadas por el hombre, o actividades económicas o de servicio, sean o no lucrativas. También a las tasas para compensar los gastos de mantenimiento de la renovabilidad de los recursos naturales renovables.  </t>
  </si>
  <si>
    <t>Ley 99 de 1993, art. 42. Decreto 1390 de 2018. Decreto 1272 de 2016</t>
  </si>
  <si>
    <t>Tasa retributiva (vigencia actual)</t>
  </si>
  <si>
    <t>Tasa retributiva (vigencia anterior)</t>
  </si>
  <si>
    <t>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t>
  </si>
  <si>
    <t>Ley 99 de 1993, art. 43, reglamentada por el Decreto Ley 155 de 2004</t>
  </si>
  <si>
    <t>Tasa por el uso del agua (vigencia actual)</t>
  </si>
  <si>
    <t>Tasa por el uso del agua (vigencia anterior)</t>
  </si>
  <si>
    <t>Tasa de aprovechamiento Forestal</t>
  </si>
  <si>
    <t>Tasa de aprovechamiento Forestal (vigencia actual)</t>
  </si>
  <si>
    <t>Tasa de aprovechamiento Forestal (vigencia anterior)</t>
  </si>
  <si>
    <t>Tasa compensatoria por caza de Fauna Silvestre</t>
  </si>
  <si>
    <t>se dirige a las autoridades ambientales competentes a que se refiere el artículo 2.2.9.10.1 .3, y a
léls personas naturales o jurídicas que cacen la fauna silvestre nativa en el país, en adelante denominadas usuarios</t>
  </si>
  <si>
    <t>Decreto 1272 de 2016, adiciona un capítulo al Título 9 de la Parte 2 del Libro 2 del Decreto 1076 de 2015, destinarán a la protección y renovación del recurso fauna silvestre, lo cual comprende actividades tales como la formulación e implementación de planes y programas de conservación y de uso
sostenible de especies animales silvestres, la repoblación, el control poblacional, estrategias para el control al tráFico ilegal, la restauración de áreas de importancia faunística, entre otras, así como el monitoreo y la elaboración de estudios de investigación básica y aplicada, estas últimas prioritarias para efectos de la inversión de la tasa, teniendo en cuenta las directrices del Ministerio de Ambiente y Desarrollo Sostenible</t>
  </si>
  <si>
    <t>Tasa compensatoria por caza de Fauna Silvestre (vigencia actual)</t>
  </si>
  <si>
    <t>Tasa compensatoria por caza de Fauna Silvestre (vigencia anterior)</t>
  </si>
  <si>
    <t>Otras tasas</t>
  </si>
  <si>
    <t>Otras tasas (vigencia actual)</t>
  </si>
  <si>
    <t>Otras tasas (vigencia anterior)</t>
  </si>
  <si>
    <t>Derechos Administrativos</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</si>
  <si>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</si>
  <si>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</si>
  <si>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Evaluación de licencias, permisos, concesiones, autorizaciones y demás trámites ambientales</t>
  </si>
  <si>
    <t>Ley 633 de 2002</t>
  </si>
  <si>
    <t>Evaluación de licencias, permisos, concesiones, autorizaciones y demás trámites ambientales (vigencia actual)</t>
  </si>
  <si>
    <t>Evaluación de licencias, permisos, concesiones, autorizaciones y demás trámites ambientales (vigencia anterior)</t>
  </si>
  <si>
    <t>Seguimiento a licencias, permisos, concesiones, autorizaciones y demás trámites ambientales</t>
  </si>
  <si>
    <t>Seguimiento a licencias, permisos, concesiones, autorizaciones y demás trámites ambientales (vigencia actual)</t>
  </si>
  <si>
    <t>Seguimiento a licencias, permisos, concesiones, autorizaciones y demás trámites ambientales (vigencia anterior)</t>
  </si>
  <si>
    <t>Salvoconductos</t>
  </si>
  <si>
    <t>Salvoconductos (vigencia actual)</t>
  </si>
  <si>
    <t>Salvoconductos (vigencia anterior)</t>
  </si>
  <si>
    <t>Venta de productos forestales</t>
  </si>
  <si>
    <t>Venta de productos forestales (vigencia actual)</t>
  </si>
  <si>
    <t>Venta de productos forestales (vigencia anterior)</t>
  </si>
  <si>
    <t>Venta de Servicios de Laboratorio e Información</t>
  </si>
  <si>
    <t>Venta de Servicios de Laboratorio e Información (vigencia actual)</t>
  </si>
  <si>
    <t>Venta de Servicios de Laboratorio e Información (vigencia anterior)</t>
  </si>
  <si>
    <t>Pruebas de Bombeo y Videos de Pozos</t>
  </si>
  <si>
    <t>Pruebas de Bombeo y Videos de Pozos (vigencia actual)</t>
  </si>
  <si>
    <t>Pruebas de Bombeo y Videos de Pozos (vigencia anterior)</t>
  </si>
  <si>
    <t>Aprovechamientos por parques</t>
  </si>
  <si>
    <t>Aprovechamientos por parques (vigencia actual)</t>
  </si>
  <si>
    <t>Aprovechamientos por parques (vigencia anterior)</t>
  </si>
  <si>
    <t>Otros servicios</t>
  </si>
  <si>
    <t>Otros servicios (vigencia actual)</t>
  </si>
  <si>
    <t>Otros servicios (vigencia anterior)</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</si>
  <si>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</si>
  <si>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Ley 6 de 1992, art. 124; Decreto 410 de 1971, art. 10, 20 y 78; Decreto 393 de 2002, art. 25</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</si>
  <si>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</si>
  <si>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</si>
  <si>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</si>
  <si>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</si>
  <si>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Multas ambientales (vigencia actual)</t>
  </si>
  <si>
    <t>Multas ambientales (vigencia anterior)</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</si>
  <si>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</si>
  <si>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</si>
  <si>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Intereses de mora (vigencia actual)</t>
  </si>
  <si>
    <t>Intereses de mora (vigencia anterior)</t>
  </si>
  <si>
    <t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t>
  </si>
  <si>
    <t>Productos de la silvicultura y de la explotación forestal</t>
  </si>
  <si>
    <t>Madera en bruto</t>
  </si>
  <si>
    <t>Madera en bruto (vigencia actual)</t>
  </si>
  <si>
    <t>Madera en bruto  (vigencia anterior)</t>
  </si>
  <si>
    <t>Productos forestales diferentes a la madera</t>
  </si>
  <si>
    <t>Productos forestales diferentes a la madera (vigencia actual)</t>
  </si>
  <si>
    <t>Productos forestales diferentes a la madera  (vigencia anterior)</t>
  </si>
  <si>
    <t>Otras ventas incidentales de establecimiento de mercado</t>
  </si>
  <si>
    <t>Otras ventas incidentales de establecimiento de mercado (vigencia actual)</t>
  </si>
  <si>
    <t>Otras ventas incidentales de establecimiento de mercado (vigencia anterior)</t>
  </si>
  <si>
    <t>Ventas incidentales de establecimiento de no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</si>
  <si>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</si>
  <si>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</si>
  <si>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 xml:space="preserve"> Clasificación Central de Productos (CPC Ver. 2.0)</t>
  </si>
  <si>
    <t>Productos metálicos, maquinaria y equipo (vigencia actual)</t>
  </si>
  <si>
    <t>Productos metálicos, maquinaria y equipo (vigencia anterior)</t>
  </si>
  <si>
    <t>Alquiler de Maquinaria y Equipos</t>
  </si>
  <si>
    <t>Alquiler de Maquinaria y Equipos (vigencia actual)</t>
  </si>
  <si>
    <t>Alquiler de Maquinaria y Equipos (vigencia anterior)</t>
  </si>
  <si>
    <t>Aprovechamiento por arriendos</t>
  </si>
  <si>
    <t>Aprovechamiento por arriendos (vigencia actual)</t>
  </si>
  <si>
    <t>Aprovechamiento por arriendos (vigencia anterior)</t>
  </si>
  <si>
    <t>Otras ventas incidentales de establecimiento no de mercado</t>
  </si>
  <si>
    <t>Otras ventas incidentales de establecimiento no de mercado (vigencia actual)</t>
  </si>
  <si>
    <t>Otras ventas incidentales de establecimiento no de mercado (vigencia anterior)</t>
  </si>
  <si>
    <t>Transferencias del sector central Nacional - PGN</t>
  </si>
  <si>
    <t>Agrupación que comprende las transferencias de recursos que reciben las unidades del PGSP y cuyo origen es el sector central Nacional, entendido como el Presupuesto General de Nación.</t>
  </si>
  <si>
    <t xml:space="preserve">Participaciones </t>
  </si>
  <si>
    <t>Son las transferencias que reciben las entidades territoriales por sus derechos de participación en los ingresos tributarios y no tributarios distintos del SGP. incluye transferencias de participaciones en ingresos tributarios y no tributarios (derivados de impuestos, contribuciones, multas y sanciones y derechos económicos por uso de recursos naturales), cuya administración mantiene la Nación u otra entidad territorial, pero tiene la obligación legal de realizar el giro de estos recursos (en su totalidad o un porcentaje) a las entidades territoriales.</t>
  </si>
  <si>
    <t>Participación de la sobretasa ambiental -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</si>
  <si>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</si>
  <si>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Ley  99 de 1993, art. 44; Decreto 1339 de 1994, art.1</t>
  </si>
  <si>
    <t>Participación de la sobretasa ambiental - Corporaciones Autónomas Regionales (vigencia actual)</t>
  </si>
  <si>
    <t>Participación de la sobretasa ambiental - Corporaciones Autónomas Regionales (vigencia anterior)</t>
  </si>
  <si>
    <t>Participación del porcentaje ambiental - Corporaciones Autónomas Regionales</t>
  </si>
  <si>
    <t>Participación del porcentaje ambiental - Corporaciones Autónomas Regionales (vigencia actual)</t>
  </si>
  <si>
    <t>Participación del porcentaje ambiental - Corporaciones Autónomas Regionales (vigencia anterior)</t>
  </si>
  <si>
    <t>Participación de intereses de mora sobre la sobretasa ambiental</t>
  </si>
  <si>
    <t>Participación de intereses de mora sobre la sobretasa ambiental (vigencia actual)</t>
  </si>
  <si>
    <t>Participación de intereses de mora sobre la sobretasa ambiental (vigencia anterior)</t>
  </si>
  <si>
    <t>Participación de intereses de mora sobre el porcentaje ambiental</t>
  </si>
  <si>
    <t>Participación de intereses de mora sobre el porcentaje ambiental (vigencia actual)</t>
  </si>
  <si>
    <t>Participación de intereses de mora sobre el porcentaje ambiental (vigencia anterior)</t>
  </si>
  <si>
    <t>Aportes Nación</t>
  </si>
  <si>
    <t>Corresponde a los recursos del Presupuesto de la Nación que el gobierno transfiere a las entidades descentralizadas del orden nacional con el objeto de contribuir a la atención de sus compromisos y al cumplimiento de sus funciones.</t>
  </si>
  <si>
    <t>Aportes Nación para Funcionamiento</t>
  </si>
  <si>
    <t>Aportes de la Nación para Inversión</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</si>
  <si>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t>
  </si>
  <si>
    <t>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</si>
  <si>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</si>
  <si>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</si>
  <si>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</si>
  <si>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Ingresos por la concepto de la venta de activos como equipo de transporte, maquinaria relacionada con tecnologías de la información y las comunicaciones y otras maquinarias y equipos no clasificados en otra partida.</t>
  </si>
  <si>
    <t xml:space="preserve">Ingresos por la disposición de activos no mencionados en los rubros anteriores, a saber, recursos biológicos cultivados y productos de propiedad intelectual. </t>
  </si>
  <si>
    <t xml:space="preserve">Ingresos por la disposición de  productos de la propiedad intelectual, los cuales son el resultado de la investigación, el desarrollo o la innovación conducente a conocimientos que pueden venderse en el mercado.  </t>
  </si>
  <si>
    <t>Ingresos por la disposición de activos no producidos, los cuales incluyen los activos de origen natural e intangible. Los activos de origen natural son recursos naturales sobre los que se ejercen derechos de propiedad (Fondo Monetario Internacional, 2014, pág. 207).</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</si>
  <si>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</si>
  <si>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t>
  </si>
  <si>
    <t>Rendimientos financieros de títulos participativos</t>
  </si>
  <si>
    <t>Corresponde a los ingresos por concepto de rendimientos financieros sobre títulos participativos. Los títulos participativos otorgan al titular la calidad de copropietario e  incorporan derechos sobre los resultados obtenidos por la entidad emisora.</t>
  </si>
  <si>
    <t>Rendimientos financieros de depósitos</t>
  </si>
  <si>
    <t>Son los ingresos por rendimientos financieros de los depósitos que tengan las entidades de gobierno en las entidades vigiladas por la Superintendencia Financiera.</t>
  </si>
  <si>
    <t>Rendimientos financieros de otros depósitos</t>
  </si>
  <si>
    <t>Corresponden a los ingresos por rendimientos financieros de otros depósitos distintos a los de la Cuenta Única Nacional.</t>
  </si>
  <si>
    <t>Rendimientos financieros Ingresos tributarios</t>
  </si>
  <si>
    <t>Rendimientos financieros Impuestos directos</t>
  </si>
  <si>
    <t>Rendimientos financieros Contribuciones</t>
  </si>
  <si>
    <t>Rendimientos financieros Tasas retributivas y compensatorias</t>
  </si>
  <si>
    <t>Rendimientos financieros Tasa retributiva</t>
  </si>
  <si>
    <t>Rendimientos financierosTasa por el uso del agua</t>
  </si>
  <si>
    <t>Rendimientos financieros Tasa de aprovechamiento Forestal</t>
  </si>
  <si>
    <t>Rendimientos financieros Tasa compensatoria por caza de Fauna Silvestre</t>
  </si>
  <si>
    <t>Rendimientos financieros Otras tasas</t>
  </si>
  <si>
    <t>Rendimientos financiero Multas, sanciones e intereses de mora</t>
  </si>
  <si>
    <t>Rendimientos financiero Venta de bienes y servicios</t>
  </si>
  <si>
    <t>Rendimientos financiero Recursos de crédito externo</t>
  </si>
  <si>
    <t>Rendimientos financiero Recursos de crédito interno</t>
  </si>
  <si>
    <t>Rendimientos financieros Compensaciones</t>
  </si>
  <si>
    <t>Rendimientos financieros Compensación resguardos indígenas</t>
  </si>
  <si>
    <t>Rendimientos financieros Transferencias de capital</t>
  </si>
  <si>
    <t>Rendimientos financieros Convenios</t>
  </si>
  <si>
    <t>Rendimientos financieros  Convenios con Departamentos</t>
  </si>
  <si>
    <t xml:space="preserve">Rendimientos financieros  Convenios con Municipios </t>
  </si>
  <si>
    <t>Rendimientos financieros  Otros Convenios</t>
  </si>
  <si>
    <t>Rendimientos financieros Transferencias del sector central Nacional - PGN</t>
  </si>
  <si>
    <t>Rendimientos financieros Transferencias del sector descentralizado - Estapublicos Nacionales</t>
  </si>
  <si>
    <t>Rendimientos financieros Transferencias del sector descentralizado - Empresas Nacionales</t>
  </si>
  <si>
    <t>Rendimientos financieros Transferencias del sector central Territorial</t>
  </si>
  <si>
    <t>Rendimientos financieros Transferencias del sector descentralizado - Estapublicos Territoriales</t>
  </si>
  <si>
    <t>Rendimientos financieros Transferencias del sector descentralizado - Empresas Territoriales</t>
  </si>
  <si>
    <t>Rendimientos financieros Transferencias de esquemas asociativos</t>
  </si>
  <si>
    <t>Rendimientos financieros Transferencias de órganos autónomos e independientes</t>
  </si>
  <si>
    <t>Rendimientos financieros Transferencias de  privados que administran recursos públicos</t>
  </si>
  <si>
    <t>Rendimientos financieros Indemnizaciones relacionadas con seguros no de vida</t>
  </si>
  <si>
    <t>Rendimientos financieros Donaciones</t>
  </si>
  <si>
    <t>Rendimientos financieros de 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</si>
  <si>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</si>
  <si>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Rendimientos financieros Intereses por préstamos</t>
  </si>
  <si>
    <t>Corresponde a los ingresos por el concepto de intereses de fondos en préstamos que tienen las entidades de gobierno. Los intereses son una forma de renta de inversión cobradas por el acreedor del préstamo.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</si>
  <si>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</si>
  <si>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t>
  </si>
  <si>
    <t>Decreto 1068 de 2015</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</si>
  <si>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</si>
  <si>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Decreto 1068 de 2015, art. 2.2.1.2.1.2</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</si>
  <si>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</si>
  <si>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Recursos de crédito de títulos de deuda pública externa</t>
  </si>
  <si>
    <t>Corresponde a los ingresos por emisión y colocación de bonos y demás valores de contenido crediticio y con plazo para su redención, emitidos por las entidades de gobierno en el exterior o empresas financieros y no financieras.</t>
  </si>
  <si>
    <t>Recursos de crédito de 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</si>
  <si>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</si>
  <si>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</si>
  <si>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t>
  </si>
  <si>
    <t>Corresponde a los recursos provenientes de contratos de empréstitos internos de las entidades del PGSP. Para las entidades de gobierno, estas operaciones están reguladas por el Decreto 1068 de 2015 y el Decreto 2681 de 1993, art. 22.</t>
  </si>
  <si>
    <t>Decreto 1068 de 2015; Decreto 2681 de 1993, art. 22</t>
  </si>
  <si>
    <t>Recursos de contratos de empréstitos internos con bancos comerciales</t>
  </si>
  <si>
    <t>Corresponde a los ingresos por adquisición de deuda con aquellos bancos comerciales que ofrecen sus recursos a tasas y condiciones vigentes del mercado. Estos recursos pueden dirigirse a cualquier sector.</t>
  </si>
  <si>
    <t>Recursos de contratos de empréstitos internos con bancos comerciales públicos</t>
  </si>
  <si>
    <t>Corresponde a los ingresos por concepto de los desembolsos realizados por bancos comerciales públicos en razón de los créditos otorgados a la entidad del PGSP.</t>
  </si>
  <si>
    <t>Recursos de contratos de empréstitos internos con bancos comerciales privados</t>
  </si>
  <si>
    <t>Corresponde a los ingresos por concepto de los desembolsos realizados por bancos comerciales privados en razón de los créditos otorgados a la entidad del PGSP.</t>
  </si>
  <si>
    <t>Recursos de contratos de empréstitos internos con entidades del sector público</t>
  </si>
  <si>
    <t>Ingresos por contratación de créditos públicos con entidades del sector público, excluyendo a los bancos comerciales públicos que están en otra categoría.</t>
  </si>
  <si>
    <t>Recursos de contratos de empréstitos internos con la 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</si>
  <si>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</si>
  <si>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Recursos de contratos de empréstitos internos con Findeter</t>
  </si>
  <si>
    <t>Corresponde a los ingresos por desembolsos de créditos realizados durante la vigencia por la Financiera de Desarrollo Territorial S.A. (FINDETER).</t>
  </si>
  <si>
    <t>Recursos de contratos de empréstitos internos con Fonade</t>
  </si>
  <si>
    <t>Corresponde a los ingresos por desembolsos de créditos realizados durante la vigencia por el Fondo Financiero de Proyectos de Desarrollo (FONADE).</t>
  </si>
  <si>
    <t>Recursos de contratos de empréstitos internos con Institutos de Desarrollo Departamental y/o Municipal</t>
  </si>
  <si>
    <t>Corresponde a los ingresos por desembolsos realizados durante la vigencia por concepto de los créditos concedidos a la entidad de gobierno por parte de los fondos o institutos de desarrollo.</t>
  </si>
  <si>
    <t>Banco de la República</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</si>
  <si>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</si>
  <si>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</si>
  <si>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Recursos de contratos de empréstitos internos con otras instituciones financieras y otros</t>
  </si>
  <si>
    <t xml:space="preserve">Corresponde a los ingresos por contratación de créditos con entidades financieras distintas a las mencionadas. También incluyre los montos de dinero transferidos al Tesoro Nacional por concepto de cuentas inactivas, por parte de las entidades financieras. </t>
  </si>
  <si>
    <t>Recursos de crédito de títulos de deuda pública interna</t>
  </si>
  <si>
    <t>Comprende los recursos provenientes de los títulos de deuda pública (bonos y demás valores de contenido crediticio) emitidos por las entidades de gobierno en el mercado local de capitales con plazo para su rendición</t>
  </si>
  <si>
    <t>Decreto 1068 de 2015, art. 2.2.1.3.1.</t>
  </si>
  <si>
    <t>Colocación y títulos TES clase B del Gobierno Nacional</t>
  </si>
  <si>
    <t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</si>
  <si>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</si>
  <si>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</si>
  <si>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Bonos y otros títulos emitidos por el Gobierno Nacional</t>
  </si>
  <si>
    <t xml:space="preserve">Comprende  los  recursos provenientes  de  la  colocación  de  bonos  definidos  por  ley,  y  de  títulos diferentes a los TES, que tienen un contenido crediticio con plazo para su redención. </t>
  </si>
  <si>
    <t>Bonos y otros títulos de deuda emitidos por las entidades territoriales</t>
  </si>
  <si>
    <t>Corresponde a los ingresos por emisión y colocación de bonos y demás valores de contenido crediticio y con plazo para su redención, emitidos por las entidades territoriales.</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</si>
  <si>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</si>
  <si>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 xml:space="preserve">Transferencias de capital </t>
  </si>
  <si>
    <t>Son las transferencias de recursos que reciben las entidades del PGSP, sin ser regulares o predecibles, y sin dar ningún bien, servicio o activo como contraprestación directa. 
En oposición a las transferencias corrientes, las transferencias de capital se caracterizan por:
•	No permitir un cálculo predecible o una estimación de estos gastos
•	No son disponibilidades regulares 
•	Dependen de la discrecionalidad de la entidad que realiza la transferencia.
•	Tener un plazo limitado de vigencia</t>
  </si>
  <si>
    <t>Convenios</t>
  </si>
  <si>
    <t>Convenios con Departamentos</t>
  </si>
  <si>
    <t xml:space="preserve">Convenios con  Municipios </t>
  </si>
  <si>
    <t>Otros Convenios</t>
  </si>
  <si>
    <t>Transferencias a  órganos autónomos e independientes</t>
  </si>
  <si>
    <t>Transferencias del sector descentralizado - Estapublicos Nacionales</t>
  </si>
  <si>
    <t>Transferencias del sector descentralizado - Empresas Nacionales</t>
  </si>
  <si>
    <t>Transferencias del sector central Territorial</t>
  </si>
  <si>
    <t>Transferencias de Departamentos</t>
  </si>
  <si>
    <t xml:space="preserve">Transferencias de Municipios </t>
  </si>
  <si>
    <t>Transferencias del sector descentralizado - Estapublicos Territoriales</t>
  </si>
  <si>
    <t>Transferencias del sector descentralizado - Empresas Territoriales</t>
  </si>
  <si>
    <t>Transferencias de esquemas asociativos</t>
  </si>
  <si>
    <t>Transferencias de órganos autónomos e independientes</t>
  </si>
  <si>
    <t>Transferencias de  privados que administran recursos públicos</t>
  </si>
  <si>
    <t>Son las transferencias de recursos que reciben las entidades del orden nacional y territorial por concepto de las indemnizaciones que se generan en el desarrollo de contratos de seguros no de vida, tras la ocurrencia de un siniestro.</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</si>
  <si>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</si>
  <si>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Donaciones 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</si>
  <si>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</si>
  <si>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Donaciones 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</si>
  <si>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</si>
  <si>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Donaciones del sector privado nacional y extranjero</t>
  </si>
  <si>
    <t>Son las transferencias de recursos por concepto de donaciones que realizan las personas naturales o personas jurídicas del sector privado nacional o extranjero a las entidades.</t>
  </si>
  <si>
    <t>Compensaciones</t>
  </si>
  <si>
    <t>Son las transferencias de recursos por pagos de gran cuantía, no recurrentes, para compensar daños extensos o lesiones graves, como las que resultan de desastres naturales no cubiertos por pólizas de seguros.</t>
  </si>
  <si>
    <t xml:space="preserve">Compensación resguardos indígenas </t>
  </si>
  <si>
    <t>Corresponde al impuesto predial unificado de los resguardos indígenas de la jurisdicción del municipio con cargo al presupuesto general de la Nación</t>
  </si>
  <si>
    <t>Compensación resguardos indígenas (vigencia actual)</t>
  </si>
  <si>
    <t>Compensación resguardos indígenas (vigencia anterior)</t>
  </si>
  <si>
    <t>Intereses de mora Compensación resguardos indígenas</t>
  </si>
  <si>
    <t xml:space="preserve">Cooperación </t>
  </si>
  <si>
    <t xml:space="preserve">Acuerdos </t>
  </si>
  <si>
    <t>Subacuerdos</t>
  </si>
  <si>
    <t>Recuperación de cartera</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</si>
  <si>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</si>
  <si>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</si>
  <si>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Recuperación de cartera Ingresos tributarios</t>
  </si>
  <si>
    <t>Recuperación de cartera Impuestos directos</t>
  </si>
  <si>
    <t>Recuperación de cartera Contribuciones</t>
  </si>
  <si>
    <t>Recuperación de cartera Tasas retributivas y compensatorias</t>
  </si>
  <si>
    <t>Recuperación de carteraTasa retributiva</t>
  </si>
  <si>
    <t>Recuperación de cartera Tasa por el uso del agua</t>
  </si>
  <si>
    <t>Recuperación de cartera Tasa de aprovechamiento Forestal</t>
  </si>
  <si>
    <t>Recuperación de cartera Tasa compensatoria por caza de Fauna Silvestre</t>
  </si>
  <si>
    <t>Recuperación de cartera Otras tasas</t>
  </si>
  <si>
    <t>Recuperación de cartera Multas, sanciones e intereses de mora</t>
  </si>
  <si>
    <t>Recuperación de cartera Venta de bienes y servicios</t>
  </si>
  <si>
    <t>Recursos provenientes del saldo del ejercicio fiscal de la vigencia inmediatamente anterior, que quedan disponibles para la vigencia siguiente.</t>
  </si>
  <si>
    <t>Mayores Ingresos No Aforados</t>
  </si>
  <si>
    <t>Mayores Ingresos No Aforados Ingresos tributarios</t>
  </si>
  <si>
    <t>Mayores Ingresos No Aforados Impuestos directos</t>
  </si>
  <si>
    <t>Mayores Ingresos No Aforados Contribuciones</t>
  </si>
  <si>
    <t>Mayores Ingresos No Aforados Tasas retributivas y compensatorias</t>
  </si>
  <si>
    <t>Mayores Ingresos No Aforados Tasa retributiva</t>
  </si>
  <si>
    <t>Mayores Ingresos No Aforados Tasa por el uso del agua</t>
  </si>
  <si>
    <t>Mayores Ingresos No Aforados Tasa de aprovechamiento Forestal</t>
  </si>
  <si>
    <t>Mayores Ingresos No Aforados Tasa compensatoria por caza de Fauna Silvestre</t>
  </si>
  <si>
    <t>Mayores Ingresos No Aforados Otras tasas</t>
  </si>
  <si>
    <t>Mayores Ingresos No Aforados Multas, sanciones e intereses de mora</t>
  </si>
  <si>
    <t>Mayores Ingresos No Aforados Venta de bienes y servicios</t>
  </si>
  <si>
    <t>Menores Ejecuciones en Gasto</t>
  </si>
  <si>
    <t>Menores Ejecuciones en Gasto Ingresos tributarios</t>
  </si>
  <si>
    <t>IMenores Ejecuciones en Gasto mpuestos directos</t>
  </si>
  <si>
    <t>Menores Ejecuciones en Gasto Contribuciones</t>
  </si>
  <si>
    <t>Menores Ejecuciones en Gasto Tasas retributivas y compensatorias</t>
  </si>
  <si>
    <t>Menores Ejecuciones en Gasto Tasa retributiva</t>
  </si>
  <si>
    <t>Menores Ejecuciones en Gasto Tasa por el uso del agua</t>
  </si>
  <si>
    <t>Menores Ejecuciones en Gasto Tasa de aprovechamiento Forestal</t>
  </si>
  <si>
    <t>Menores Ejecuciones en Gasto Tasa compensatoria por caza de Fauna Silvestre</t>
  </si>
  <si>
    <t>Menores Ejecuciones en Gasto Otras tasas</t>
  </si>
  <si>
    <t>Menores Ejecuciones en Gasto Multas, sanciones e intereses de mora</t>
  </si>
  <si>
    <t>Menores Ejecuciones en Gasto Venta de bienes y servicios</t>
  </si>
  <si>
    <t>Cancelación de reservas</t>
  </si>
  <si>
    <t>Cancelación de reservas Ingresos tributarios</t>
  </si>
  <si>
    <t>Cancelación de reservas Impuestos directos</t>
  </si>
  <si>
    <t>Cancelación de reservas Contribuciones</t>
  </si>
  <si>
    <t>Cancelación de reservas Tasas retributivas y compensatorias</t>
  </si>
  <si>
    <t>Cancelación de reservas Tasa retributiva</t>
  </si>
  <si>
    <t>Cancelación de reservas Tasa por el uso del agua</t>
  </si>
  <si>
    <t>Cancelación de reservas Tasa de aprovechamiento Forestal</t>
  </si>
  <si>
    <t>Cancelación de reservas Tasa compensatoria por caza de Fauna Silvestre</t>
  </si>
  <si>
    <t>Cancelación de reservas Otras tasas</t>
  </si>
  <si>
    <t>Cancelación de reservas Multas, sanciones e intereses de mora</t>
  </si>
  <si>
    <t>Cancelación de reservas Venta de bienes y servicios</t>
  </si>
  <si>
    <t>Cancelación de reservas Recursos de crédito externo</t>
  </si>
  <si>
    <t>Cancelación de reservas Recursos de crédito interno</t>
  </si>
  <si>
    <t>Cancelación de reservas Transferencias de capital</t>
  </si>
  <si>
    <t>Cancelación de reservas Convenios</t>
  </si>
  <si>
    <t>Cancelación de reservas Convenios Departamentos</t>
  </si>
  <si>
    <t xml:space="preserve">Cancelación de reservas Convenios Municipios </t>
  </si>
  <si>
    <t>Cancelación de reservas Otros convenios</t>
  </si>
  <si>
    <t>Cancelación de reservas Compensaciones</t>
  </si>
  <si>
    <t>Cancelación de reservas Compensación resguardos indígenas</t>
  </si>
  <si>
    <t>5.11.1.1. Saneamiento Déficit Fiscal 2019</t>
  </si>
  <si>
    <t>En cuanto a las acciones estratégicas 5.2.1.2, 5.2.1.3 y 5.2.1.4, se le asignaron recursos, a pesar de no tener registradas metas, puesto que para la vigencia 2020 debido al aislamiento preventivo ocasionado por el Covid 19, no se habían podido realizar los exámenes médicos ocupacionales periódicos y sus pruebas complementarias, tal como lo describe el Informe de Gestión del 2020: “A pesar de no contar con la línea base que ofrece la realización de exámenes medico ocupacionales periódicos del personal, con fundamento en la matriz de peligros y riesgos de la Corporación”.</t>
  </si>
  <si>
    <t>La acción estratégica 5.3.1.3.que busca diseñar e implementar un sistema de gestión de seguridad de la información basado en la norma ISO 27001 tiene meta física programada para el 2022. Sin embargo, teniendo cuenta que en 12 meses no se alcanza a tener implementado el sistema, se adelantó el proceso previo de acompañamiento técnico para el logro de esta acción durante la vigencia 2021, para poder dar cumplimiento de la meta en el 2022. Es por esta razón, que se presenta un avance en la meta financiera.</t>
  </si>
  <si>
    <t>Esta acción estratégica 5.7.3.1, Implementar un Modelo Integrado de Planeación y Gestión - MIPG se le asignaron recursos con el fin de iniciar el proceso de adopción de este Modelo y como actividad complementaria al Sistema de Gestión de la Calidad, debido a todas las actividades que conllevan el MIPG y que se encuentran en complementariedad con los demás Sistemas de Gestión que la entidad tiene planeado adoptar. Por consiguiente, se adelantó el proceso previo de acompañamiento técnico para el logro de esta acción durante a vigencia 2021, para poder dar cumplimiento de la meta en el 2022. Es por esta razón, que se presenta un avance en la meta financiera.</t>
  </si>
  <si>
    <t>Las acciones estratégicas 5.6.1.3. y 5.6.1.4. se refieren a “Adquirir un (1) software de la Oficina Jurídica” e “Implementación del software para PQRS” respectivamente. En este sentido se asignaron recursos, a pesar de que las metas (ambas) se tienen planeadas para el 2022, con el propósito de iniciar el proceso desde la vigencia 2021 y poder así adoptar los softwares que le permitan a la entidad llevar estas actividades con un mayor control, cumpliendo con la meta en la vigencia asignada.</t>
  </si>
  <si>
    <t>Para las acciones estratégicas 5.7.1.3. Implementar un Sistema de Seguridad y Salud en el Trabajo, según norma NTC 45001:2015 y 5.7.1.4. Implementar un Sistema de Gestión Ambiental según la norma NTC ISO 14001:2015, incluidas dentro del programa Sistema de Gestión Integrado, se asignaron recursos debido a que el proceso de diseño, implementación y evaluación estos Sistemas de Gestión en entidades como la Corporación, deben tener un tiempo de ejecución de al menos 18 meses. Situación similar se presenta con la acción estratégica 5.7.2.1. Implementar una norma para la calibración de equipos según ISO 17025: 2017 (Ensayo y Calibración). Por esta razón se decidió iniciar con estos procesos en la vigencia 2020, para darle continuidad durante el 2021, y poder entrar en las fases de mantenimiento y mejora en las vigencias posteriores.</t>
  </si>
  <si>
    <r>
      <t xml:space="preserve">(28)
</t>
    </r>
    <r>
      <rPr>
        <b/>
        <sz val="10"/>
        <color rgb="FFFF0000"/>
        <rFont val="Arial Narrow"/>
        <family val="2"/>
      </rPr>
      <t>INDICADOR</t>
    </r>
    <r>
      <rPr>
        <b/>
        <sz val="10"/>
        <color indexed="8"/>
        <rFont val="Arial Narrow"/>
        <family val="2"/>
      </rPr>
      <t xml:space="preserve"> ODS AL QUE LE APORTA</t>
    </r>
  </si>
  <si>
    <t>(19) PORCENTAJE DE AVANCE DE LOS RECURSOS OBLIGADOS ((18/16)*100)</t>
  </si>
  <si>
    <t>Con la celebración del Adicional No. 1 al Contrato No. 377 del 31 de diciembre de 2020, cuyo objeto contractual es: “Obras de mantenimiento de las estructuras de regulación hidrica el porvenir y villarosa, del embalse el guajaro, departamento del Atlantico” y, con las acciones desarrolladas para las obras de mantenimiento de las estructuras de regulación hídrica el Porvenir y Villarosa, del embalse el Guájaro se registra un avance del 87% frente a la meta programada para la vigencia, la cual es de un (1) mantenimiento realizado.
Entre las actividades ejecutadas se encuentran: construcción de un dique provisional en Villa Rosa, suministro e instalación de compuertas nuevas de Villa Rosa y las adecuaciones de la garita de vigilancia en las compuertas el Porvenir.</t>
  </si>
  <si>
    <t>La CRA realizó el Convenio No. 001 del 31 de marzo de 2021, celebrado con el Municipio de Santo Tomás para el desarrollo del Proyecto “Canalización del arroyo puente venancio en el municipio de Santo Tomás departamento del Atlantico”. Durante la vigencia 2021 se alcanzó una ejecucion del 70%.</t>
  </si>
  <si>
    <t>A la fecha del cierre del periodo se cuenta con 51 PUEAA aprobados del total de 163 concesiones vigentes, logrando un cumplimiento del 52% para la meta del año 2021, lo que corresponde a un cumplimiento del 86,7%.</t>
  </si>
  <si>
    <t>Durante el mes de enero y febrero de 2021, la Subdirección de Gestión Ambiental definió el siguiente plan de seguimiento a los PUEAA aprobados, teniendo en cuenta las concesiones de aguas subterráneas y superficiales especificada en el informe.</t>
  </si>
  <si>
    <t>Número de proyectos con apoyo en la implemenatción de PTARS</t>
  </si>
  <si>
    <t>La C.R.A. participó en una jornada de capacitación sobre la Consulta Previa de este tipo de instrumentos de ordenación, realizada por la Subdirección de Consulta Previa del Ministerio del Interior, la cual se llevó a cabo el día 23 de abril de 2021, organizada por la Corporación Autónoma Regional del Magdalena – CORPAMAG y dirigida a los miembros de la UAC RIO MAGDALENA y de la UAC VERTIENTE NORTE.</t>
  </si>
  <si>
    <t>Con las actividades desarrolladas para lograr la actualización del PMA del Distrito de Manejo Integrado del DMI Luriza, la meta presenta un avance del 50% al cierre del presente informe.</t>
  </si>
  <si>
    <t>2.3.1.7. Formular e implementar actividades de protección y recuperación de las zonas de acuiferos ubicadas en las áreas protegidas, para prevenir y mitigar el impacto negativo en en el recurso hídrico</t>
  </si>
  <si>
    <t>En el marco del Contrato No. 0000155 de 2021 cuyo objeto es: “Desarrollar un programa de educación ambiental que influya en la reducción de procesos de transformación y pérdida de ecosistemas especialmente influenciados por el cambio climático en las áreas protegidas del Departamento del Atlántico”  se da cumplimiento a la meta.
Al cierre del informe se vienen realizando acciones de sensibilización a poblaciones de los municipios de Usiacurí, Piojo Repelón y actores claves en la conservación de áreas estratégicas ambientales.</t>
  </si>
  <si>
    <t>En marco del Contrato No. 0000154 del 30 de marzo del 2021, cuyo objeto contractual fue: “Prestación de servicios profesionales y de apoyo a la gestión para promover espacios para la participación ciudadana en la gestión ambiental que permitan sensibilizar al ciudadano en la conservación de los ecosistemas de su entorno asociados a su bienestar social y económico. La Corporación implementó un (1) protocolo para la atención de incendios en cobertura vegetal en áreas protegidas del departamento, ubicadas particularmente en el municipio de Piojó, dando cumplimiento al 100% de la meta programada para la vigencia 2021.</t>
  </si>
  <si>
    <t xml:space="preserve">La Subdirección de Gestión Ambiental, al cierre de la vigencia 2021 adelantó el proceso de planificación para realizar la Feria de negocios verdes, ésta se llevó  a cabo del 21 al 23 de enero del 2022, en el centro Comercial Buenavista 2 de la ciudad de Barranquilla, como una estrategia de promoción, divulgación y realización de Negocios Verdes en el Departamento del Atlántico, la feria se desarrolló en el marco del Convenio 004 de 2021 suscrito con la alianza colombiana de instituciones públicas de educación superior - RED SUMMA. </t>
  </si>
  <si>
    <t>Con la asistencia técnica de 50 PRAE en la vigencia 2021, se da cumplimiento al 100% de la meta programada para dicha vigencia.
La Corporación Autónoma Regional del Atlántico - C.R.A en búsqueda del fortalecimiento de la institucionalización y proyección de la educación ambiental, en el territorio, consideró en el Plan de Acción Institucional 2020-2023, “Atlántico Sostenible y Resiliente”, brindar asesoría técnica a los proyectos ambientales escolares (PRAE) y apoyar acciones para su implementación. Es por ello que, en marco del convenio No.003 del 2021 celebrado para Aunar esfuerzos administrativos, técnicos y financieros a fin de fortalecer la inclusión de la dimensión ambiental en la educación formal y la estrategia de economía circular en el departamento del Atlántico, asistimos a diferentes Instituciones educativas en el departamento de forma técnica y práctica fortaleciendo 50 PRAE que se desarrollan dentro de éstas</t>
  </si>
  <si>
    <t>En marco del convenio No.003 del 2021 celebrado para Aunar esfuerzos administrativos, técnicos y financieros a fin de fortalecer la inclusión de la dimensión ambiental en la educación formal y la estrategia de economía circular en el departamento del Atlántico, fortalecimos veinte (20) Semilleros de Investigación, Grupos Ecológicos o Clubes de Ciencia y dinamizadores ambientales en los municipios del departamento del Atlántico, cumpliendo con el 100% de la meta programada para la vigencia 2021.</t>
  </si>
  <si>
    <t>En marco del Contrato No. 00153 del 30 de marzo del 2021 cuyo objeto es: Prestación de servicios profesionales y de apoyo a la gestión para desarrollar un programa de sensibilización para fortalecer en la comunidad el conocimiento ambiental sobre el departamento del Atlántico, a través de estrategias de comunicación, educación ambiental y del acompañamiento apoyo a los PROCEDA, apoyamos e implementamos 10 Proyectos Ciudadanos de Educación Ambiental en el Departamento.</t>
  </si>
  <si>
    <t>Durante la vigencia 2021 se ejecutó en un 80% la meta programada. En marco del Contrato No.152 del 30 de marzo del 2021 cuyo objeto es: Prestación de servicios profesionales y de apoyo a la gestión para desarrollar estrategias educativas ambientales para la construcción de una cultura de prevención y gestión del riesgo en instituciones educativas oficiales del departamento, así como el apoyo a los proyectos propuestos por los CMGR, se construyó una base de datos de los consejos municipales de Gestión del Riesgo de municipios del Atlántico.</t>
  </si>
  <si>
    <t xml:space="preserve">Con las actividades desarrolladas en marco del Contrato N°0149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 la meta tuvo cumplimiento del 100%.
Fueron identificados 8 grupos de mujeres de las etnias del departamento del Atlántico; cada grupo constaba de 15 mujeres. Fueron seleccionadas 120 mujeres (60 indígenas y 60 NARP), de los municipios de: Puerto Colombia, Galapa, Corregimiento de Pital de Megua, Malambo, Juan de Acosta, Piojó, Palmar de Varela, Manatí. Se realizaron talleres de capacitación en los temas de Género, Participación, Liderazgo Ambiental, Ambiente, Unidades Productivas. </t>
  </si>
  <si>
    <t>La meta tuvo cumplimiento del 100% en la vigencia 2021. Ello se logró, a través de actividades desarrolladas en marco del Contrato N°00149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t>
  </si>
  <si>
    <t xml:space="preserve">La meta tuvo cumplimiento del 100% en la vigencia 2021. 
A través del Contrato N°00149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 se desarrollaron acciones para el fortalecimiento de los saberes y prácticas tradicionales ambientales de las comunidades indígenas y ROM del departamento
En marco del Contrato mencionado, desarrollamos capacitaciones en temas tales como: Fauna y flora orientadas a la medicina ancestral, manifestaciones culturales entre otras de rescate de la cultura de las etnias. </t>
  </si>
  <si>
    <t xml:space="preserve">Con las capacitaciones desarrolladas en temas tales como: fauna y flora, medicina ancestral, rescate de la cultura de la etnia, dirigidas a 90 jóvenes NARP se cumplió la meta en un 100% en la vigencia 2021.
Las acciones para lograr los objetivos propuestos fueron realizadas en marco del Contrato N°0149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
Los grupos seleccionados corresponden a representantes de los siguientes municipios: Juan de Acosta, Piojó, Palmar de Varela, Polonuevo, Candelaria, Manatí. </t>
  </si>
  <si>
    <t>La meta se cumplió al 100% con las asesorías y apoyo a las iniciativas productivas surgidas desde las comunidades NARP del departamento del Atlántico; dichas iniciativas incluyen productos gastronómicos y artesanales, productos basados en las plantas y medicina ancestral natural como jabones, elaboración  y comercialización de productos cuyos principios activos son provenientes de plantas, cultivo, transformación y comercialización de plantas medicinales utilizadas para la medicina tradicional de uso externo (aceites, tinturas, jabones, ungüentos, talcos, planta) condimentos y la comida tradicional de las comunidades afros, elaboración de artesanías. Elaboración de dulces típicos, (yuca, ñame, papaya). gastronomía típica.
Las acciones se desarrollaron en marco del Contrato N°0149 del 29 de marzo del 2021 cuyo objeto es: Prestación de servicios profesionales y de apoyo a la gestión para desarrollar una estrategia de educación ambiental para el fortalecimiento a los jóvenes indígenas, Rrom y NARP del departamento del Atlántico, en el rescate de su cultura ancestral ambiental, así como fomentar el desarrollo integral en la función de la mujer como dinamizadora ambiental.</t>
  </si>
  <si>
    <t>105~Porcentaje de ciudades con una estructura de participación directa de la sociedad civil en la planificación y la gestión urbanas que opera regular y democráticamente</t>
  </si>
  <si>
    <t>A corte 31 de Diciembre de 2021, la meta registra un avance del 100%, representado en las visitas de seguimiento realizadas a los 22 municipios del departamento los cuales se especifican en el informe.</t>
  </si>
  <si>
    <t xml:space="preserve">Teniendo en cuenta la experiencia de vigencias anteriores, en la actualidad, la Corporación, a través de su Red de Amigos de la Fauna, presta la atención vital a las especies decomisadas en el Departamento, brindando una respuesta inmediata para el rescate, decomiso y tratamiento de especies faunísticas en los municipios del Atlántico.  
Para la atención de este indicador se propone diseñar una estrategia que contribuya a la prevención al tráfico y consumo ilegal de especies nativas de fauna y flora en estado de amenaza en vías de jurisdicción de la CRA, mediante el uso de productos y herramientas pedagógicas multiformato para la protección y conservación de especies nativas de fauna y en estado de amenaza que puedan ser integrados tanto a las acciones de sensibilización y concientización, como a procesos de enseñanza en instituciones  educativas priorizadas y a diferentes canales de comunicación.
La meta no presenta avance en la vigencia 2021. </t>
  </si>
  <si>
    <t xml:space="preserve">A corte de 31 de diciembre del 2021 se cumplió la meta en el 100%. 
Con el fin de garantizar las herramientas de usuario final necesarias para la realización de las actividades de la CRA, y teniendo en cuenta que las condiciones que obligaban a una renovación tecnológica, tales como obsolescencia del sistema operativo Windows 7 y la necesidad de una mayor capacidad multimedia de los equipos de cómputo para trabajar desde casa, se hicieron más apremiantes, se realizó la adición No.1 al Contrato 367 con fecha 31 Mayo 2021 cuyo objeto es:“Adquisición, instalacion y configuraciòn de equipos de cómputos, escaneres e impresoras de última tecnología con el objeto de iniciar el reemplazo de los equipos obsoletos, de acuerdo a las especificaciones técnicas descritas en anexo técnico adjunto; incluye servicios complementarios, a todo costo, por mano de obra certificada”.
Lo anterior, con el fin de garantizar la renovación del 100% de los equipos de cómputo y periféricos de la CRA para  los funcionarios. Dicha adición permitió adquirir 33 equipos de cómputo y una impresora adicional, con lo que se renovó al 100% el inventario de tecnología para usuario final. </t>
  </si>
  <si>
    <t>En la vigencia 2021 acorde con la meta establecida, se da cumplimiento del 20% de la Red de voz y datos corporativos y servidores virtualizados implementados programados para dicha vigencia.
Con lo relacionado a Red de voz Se elaboró revisión con el proveedor de telefonía Movistar, para los servicios de comunicaciones a través de WAN, implementando un Gateway de voz, troncal SIP, hardphone y softphone, lo que permitiría que los computadores y celulares de los funcionarios sirviesen de extensiones a través de softphones (Apps de voz). 0%.</t>
  </si>
  <si>
    <t>55~Inversiones extranjeras directas (IED), asistencia oficial para el desarrollo y cooperación sur-sur como proporción del presupuesto nacional total</t>
  </si>
  <si>
    <t>Con la actualización permanente y reporte de la información en el SIAC, la meta registra un cumplimiento del 50% durante la vigencia hasta el 31 de Diciembre de 2021, toda vez que este indicador debe registrar a cierre del año un cumplimiento del 100%.</t>
  </si>
  <si>
    <t>El cumplimiento de esta acción estratégica y meta se constituye en una serie de actividades de seguimiento, mesas de trabajo y socialización que se realizaron con los procesos estratégicos, misionales, de apoyo y de evaluación, que hacen parte de la Corporación Autónoma Regional del Atlántico.
Las acciones desarrolladas para el cumplimiento de la meta permiten reportar un avance del 80% a corte 31 de diciembre del 2021.</t>
  </si>
  <si>
    <t>A corte 31 de diciembre de la vigencia 2021, se tiene un avance del 70% en relación con la implementación del Sistema de Seguridad y Salud en el Trabajo, según la norma NTC 45001:2015
En reunión realizada con la Dirección General y la Secretaría General de la Corporación, se decidió estructurar el proyecto de certificación en ISO 45001:2018 en dos fases: 
1.	Fase de Diseño; 2.	Fase de Implementación.</t>
  </si>
  <si>
    <t>Las acciones desarrolladas para el cumplimiento de la meta permiten reportar un avance del 70% a corte 31 de diciembre del 2021.
En reunión realizado con Dirección General y Secretaría General, se decidió estructurar el proyecto de certificación en ISO 14001:2015 en dos fases: 
1.	Fase de Diseño
2.	Fase de Implementación.</t>
  </si>
  <si>
    <t>La meta para esta acción estratégica no presentó avance en la vigencia 2021. En reunión realizado con Dirección General y Secretaría General, se decidió aplazar la ejecución de este proyecto para la vigencia 2022.</t>
  </si>
  <si>
    <t>Del total de actividades programadas las cuales fueron 470 para la vigencia 2021, se lograron llevar a cabo 326, lo que muestra un cumplimiento del 69,4% de la meta. Loas cuales se detallan en el informe oficial.</t>
  </si>
  <si>
    <t>PROGRAMA DEFICIT DE VIGENCIAS ANTERIORES (Anexo: informe de gastos)</t>
  </si>
  <si>
    <t>El valor registrado no tiene programación ni ejecución de meta fisica, teniendo en cuenta que corresponde a deficit de vigencia anteriores</t>
  </si>
  <si>
    <t xml:space="preserve">5.11 PROGRAMA DEFICIT DE VIGENCIAS ANTERIORES </t>
  </si>
  <si>
    <t>5.11.1. PROYECTO SANEAMIENTO FINANCIERO DEFICIT FISCAL 2019</t>
  </si>
  <si>
    <r>
      <rPr>
        <b/>
        <sz val="10"/>
        <rFont val="Arial Narrow"/>
        <family val="2"/>
      </rPr>
      <t>REZAGO 2020</t>
    </r>
    <r>
      <rPr>
        <sz val="10"/>
        <rFont val="Arial Narrow"/>
        <family val="2"/>
      </rPr>
      <t>: Se elaboró la Resolución 0145 de 2021 "Por medio de la cual  se priorizan cuerpos de agua para el acotamiento de su ronda hirica, en el Departamento del Atlantico".</t>
    </r>
  </si>
  <si>
    <r>
      <rPr>
        <b/>
        <sz val="10"/>
        <rFont val="Arial Narrow"/>
        <family val="2"/>
      </rPr>
      <t xml:space="preserve">REZAGO 2020: </t>
    </r>
    <r>
      <rPr>
        <sz val="10"/>
        <rFont val="Arial Narrow"/>
        <family val="2"/>
      </rPr>
      <t>Se ejecutó Contrato No. 351 del 2020 con el cual se da cumplimiento a la meta programada para dicha vigencia.</t>
    </r>
  </si>
  <si>
    <t>La acción estratégica 2.3.1.3 correspondiente al Programa 2.3.1: Áreas Protegidas no se tenía programada meta física para la anualidad; sin embargo, se hizo necesario implementar el Acuerdo 04 del SIRAP CARIBE y apoyar la implementación de los Sistemas de Áreas Protegidas en el marco de los acuerdos vigentes del SIRAP CARIBE y en el marco del Plan Operativo 2020-2021 - Convenio marco 001 de 2020, a través de la secretaría ejecutiva del SIRAP, por tal razón la Corporación debió asignar recursos en esta acción estratégica. Se atienden las recomendaciones del Ministerio para hacer los ajustes necesarios, teniendo en cuenta que los seguimientos deben realizarse con suficiente antelación y poder solicitar los ajustes que sean del caso</t>
  </si>
  <si>
    <r>
      <rPr>
        <b/>
        <sz val="10"/>
        <rFont val="Arial Narrow"/>
        <family val="2"/>
      </rPr>
      <t xml:space="preserve">VIGENCIA 2021: </t>
    </r>
    <r>
      <rPr>
        <sz val="10"/>
        <rFont val="Arial Narrow"/>
        <family val="2"/>
      </rPr>
      <t xml:space="preserve">Los 2 Planes de Manejo Ambiental de las Áreas Protegidas del Departamento que serán actualizados para el cumplimiento del indicador, corresponden a DRMI Luriza y El Palomar. Con las actividades desarrolladas para lograr la actualización del PMA del Distrito de Manejo Integrado del DMI Luriza, la meta presenta un avance del 25% al cierre del presente informe. 
Las anteriores acciones se desarrollan de conformidad con el convenio marco suscrito con SIRAP CARIBE el pasado 15 de mayo de 2020, el cual se encuentra vigente a la fecha.
</t>
    </r>
    <r>
      <rPr>
        <b/>
        <sz val="10"/>
        <rFont val="Arial Narrow"/>
        <family val="2"/>
      </rPr>
      <t>REZAGO2020:</t>
    </r>
    <r>
      <rPr>
        <sz val="10"/>
        <rFont val="Arial Narrow"/>
        <family val="2"/>
      </rPr>
      <t xml:space="preserve"> A través del Contrato No. 00351 de 2020 cuyo objeto es "Desarrollar e implementar acciones de conservación y Uso sostenible de especies amenazadas y, priorizadas en el Departamento del Atlántico, así como una estrategia de educación y control de las especies invasoras y exóticas, a través de la sensibilización ambiental"  se actualizó el PMA de la Reserva Forestal protectora El Palomar, cumpliendo con la meta programada para la vigencia 2020.</t>
    </r>
  </si>
  <si>
    <t xml:space="preserve">Se asignaron recursos para adelantar  estudios técnicos que contengan la actualización del Indice de Uso del Agua, dado que esta acción estrategica tiene meta programada para la vigencia 2023, y se hizo necesario realizarlos durante este periodo a fin de conocer el estado actual de este. </t>
  </si>
  <si>
    <r>
      <rPr>
        <sz val="10"/>
        <color rgb="FF000000"/>
        <rFont val="Arial, sans-serif"/>
      </rPr>
      <t>3.1.2.1. Brindar</t>
    </r>
    <r>
      <rPr>
        <sz val="10"/>
        <rFont val="Arial, sans-serif"/>
      </rPr>
      <t xml:space="preserve"> asistencia</t>
    </r>
    <r>
      <rPr>
        <sz val="10"/>
        <color rgb="FF000000"/>
        <rFont val="Arial, sans-serif"/>
      </rPr>
      <t xml:space="preserve"> técnica a los Proyectos Ambientales Escolares (PRAE) y apoyar acciones para su implementación.</t>
    </r>
  </si>
  <si>
    <t xml:space="preserve">(1) LINEAS ESTRATEGICAS -
PROGRAMAS - PROYECTOS Y ACTIVIDADES DEL PLAN DE ACCIÓN 2020-2023
(inserte filas cuando sea necesario)
</t>
  </si>
  <si>
    <t>(13)               PONDERACIONES DE PROGRAMAS, PROYECTOS Y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</si>
</sst>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 #,##0.00_);_(* \(#,##0.00\);_(* &quot;-&quot;??_);_(@_)"/>
    <numFmt numFmtId="165" formatCode="0.0"/>
    <numFmt numFmtId="166" formatCode="_-* #,##0_-;\-* #,##0_-;_-* &quot;-&quot;??_-;_-@_-"/>
    <numFmt numFmtId="167" formatCode="_(* #,##0_);_(* \(#,##0\);_(* &quot;-&quot;??_);_(@_)"/>
    <numFmt numFmtId="168" formatCode="_(* #,##0.000_);_(* \(#,##0.000\);_(* &quot;-&quot;???_);_(@_)"/>
    <numFmt numFmtId="169" formatCode="_(* #,##0.000_);_(* \(#,##0.000\);_(* &quot;-&quot;??_);_(@_)"/>
    <numFmt numFmtId="170" formatCode="0.0%"/>
    <numFmt numFmtId="171" formatCode="[$$-240A]\ #,##0"/>
    <numFmt numFmtId="172" formatCode="[$$-240A]\ #,##0.00"/>
    <numFmt numFmtId="173" formatCode="#,##0.0"/>
    <numFmt numFmtId="174" formatCode="[$$-240A]\ #,##0.0"/>
  </numFmts>
  <fonts count="55"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0"/>
      <name val="Arial Narrow"/>
      <family val="2"/>
    </font>
    <font>
      <b/>
      <sz val="12"/>
      <name val="Arial Narrow"/>
      <family val="2"/>
    </font>
    <font>
      <sz val="10"/>
      <name val="Arial"/>
      <family val="2"/>
    </font>
    <font>
      <b/>
      <sz val="10"/>
      <name val="Arial Narrow"/>
      <family val="2"/>
    </font>
    <font>
      <b/>
      <sz val="10"/>
      <color indexed="10"/>
      <name val="Arial Narrow"/>
      <family val="2"/>
    </font>
    <font>
      <b/>
      <sz val="9"/>
      <name val="Arial Narrow"/>
      <family val="2"/>
    </font>
    <font>
      <b/>
      <sz val="7"/>
      <name val="Arial Narrow"/>
      <family val="2"/>
    </font>
    <font>
      <sz val="7"/>
      <name val="Arial Narrow"/>
      <family val="2"/>
    </font>
    <font>
      <u/>
      <sz val="7"/>
      <name val="Arial Narrow"/>
      <family val="2"/>
    </font>
    <font>
      <b/>
      <sz val="11"/>
      <color theme="1"/>
      <name val="Arial Narrow"/>
      <family val="2"/>
    </font>
    <font>
      <b/>
      <sz val="9"/>
      <color theme="1"/>
      <name val="Verdana"/>
      <family val="2"/>
    </font>
    <font>
      <b/>
      <sz val="9"/>
      <name val="Verdana"/>
      <family val="2"/>
    </font>
    <font>
      <sz val="9"/>
      <color theme="1"/>
      <name val="Verdana"/>
      <family val="2"/>
    </font>
    <font>
      <b/>
      <sz val="9"/>
      <color rgb="FF000000"/>
      <name val="Verdana"/>
      <family val="2"/>
    </font>
    <font>
      <sz val="11"/>
      <name val="Calibri"/>
      <family val="2"/>
    </font>
    <font>
      <sz val="11"/>
      <color rgb="FF000000"/>
      <name val="Calibri"/>
      <family val="2"/>
    </font>
    <font>
      <sz val="9"/>
      <name val="Verdana"/>
      <family val="2"/>
    </font>
    <font>
      <sz val="9"/>
      <color rgb="FF000000"/>
      <name val="Verdana"/>
      <family val="2"/>
    </font>
    <font>
      <b/>
      <sz val="11"/>
      <color rgb="FF000000"/>
      <name val="Calibri"/>
      <family val="2"/>
    </font>
    <font>
      <sz val="10"/>
      <color theme="1"/>
      <name val="Arial Narrow"/>
      <family val="2"/>
    </font>
    <font>
      <b/>
      <sz val="10"/>
      <color theme="1"/>
      <name val="Arial Narrow"/>
      <family val="2"/>
    </font>
    <font>
      <sz val="10"/>
      <color rgb="FF000000"/>
      <name val="Arial Narrow"/>
      <family val="2"/>
    </font>
    <font>
      <b/>
      <sz val="10"/>
      <color indexed="8"/>
      <name val="Arial Narrow"/>
      <family val="2"/>
    </font>
    <font>
      <sz val="9"/>
      <color indexed="81"/>
      <name val="Tahoma"/>
      <family val="2"/>
    </font>
    <font>
      <b/>
      <sz val="9"/>
      <color indexed="81"/>
      <name val="Tahoma"/>
      <family val="2"/>
    </font>
    <font>
      <b/>
      <sz val="10"/>
      <color rgb="FFFF0000"/>
      <name val="Arial Narrow"/>
      <family val="2"/>
    </font>
    <font>
      <b/>
      <sz val="7"/>
      <color rgb="FFFF0000"/>
      <name val="Arial Narrow"/>
      <family val="2"/>
    </font>
    <font>
      <sz val="7"/>
      <color rgb="FFFF0000"/>
      <name val="Arial Narrow"/>
      <family val="2"/>
    </font>
    <font>
      <sz val="10"/>
      <color theme="1"/>
      <name val="Arial"/>
      <family val="2"/>
    </font>
    <font>
      <sz val="11"/>
      <color theme="1"/>
      <name val="Arial"/>
      <family val="2"/>
    </font>
    <font>
      <sz val="10"/>
      <name val="Calibri"/>
      <family val="2"/>
    </font>
    <font>
      <sz val="11"/>
      <name val="Arial"/>
      <family val="2"/>
    </font>
    <font>
      <b/>
      <sz val="8"/>
      <name val="Arial Narrow"/>
      <family val="2"/>
    </font>
    <font>
      <b/>
      <sz val="8"/>
      <color rgb="FFFF0000"/>
      <name val="Arial Narrow"/>
      <family val="2"/>
    </font>
    <font>
      <sz val="8"/>
      <name val="Calibri"/>
      <family val="2"/>
      <scheme val="minor"/>
    </font>
    <font>
      <sz val="10"/>
      <color rgb="FF000000"/>
      <name val="Arial"/>
      <family val="2"/>
    </font>
    <font>
      <sz val="10"/>
      <color rgb="FF000000"/>
      <name val="Arial, sans-serif"/>
    </font>
    <font>
      <sz val="10"/>
      <color rgb="FFFF0000"/>
      <name val="Arial, sans-serif"/>
    </font>
    <font>
      <sz val="10"/>
      <color rgb="FFFF0000"/>
      <name val="Arial"/>
      <family val="2"/>
    </font>
    <font>
      <sz val="10"/>
      <color theme="1"/>
      <name val="Arial  N"/>
    </font>
    <font>
      <sz val="10"/>
      <color rgb="FF000000"/>
      <name val="Arial  N"/>
    </font>
    <font>
      <b/>
      <sz val="10"/>
      <color rgb="FF000000"/>
      <name val="Arial Narrow"/>
      <family val="2"/>
    </font>
    <font>
      <sz val="10"/>
      <name val="Arial  N"/>
    </font>
    <font>
      <b/>
      <sz val="10"/>
      <color rgb="FFFFFFFF"/>
      <name val="Arial Narrow"/>
      <family val="2"/>
    </font>
    <font>
      <b/>
      <sz val="10"/>
      <color theme="0"/>
      <name val="Arial Narrow"/>
      <family val="2"/>
    </font>
    <font>
      <b/>
      <sz val="14"/>
      <color rgb="FFC00000"/>
      <name val="Arial Narrow"/>
      <family val="2"/>
    </font>
    <font>
      <b/>
      <sz val="10"/>
      <name val="Arial"/>
      <family val="2"/>
    </font>
    <font>
      <sz val="11"/>
      <name val="Arial Narrow"/>
      <family val="2"/>
    </font>
    <font>
      <sz val="12"/>
      <color rgb="FF000000"/>
      <name val="Arial"/>
      <family val="2"/>
    </font>
    <font>
      <sz val="10"/>
      <color theme="1"/>
      <name val="Calibri"/>
      <family val="2"/>
    </font>
    <font>
      <sz val="10"/>
      <name val="Arial, sans-serif"/>
    </font>
  </fonts>
  <fills count="6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indexed="11"/>
        <bgColor indexed="64"/>
      </patternFill>
    </fill>
    <fill>
      <patternFill patternType="solid">
        <fgColor rgb="FFB4D79D"/>
        <bgColor rgb="FFA8D08D"/>
      </patternFill>
    </fill>
    <fill>
      <patternFill patternType="solid">
        <fgColor rgb="FF99FF99"/>
        <bgColor rgb="FFA8D08D"/>
      </patternFill>
    </fill>
    <fill>
      <patternFill patternType="solid">
        <fgColor rgb="FFCCFFCC"/>
        <bgColor rgb="FFA8D08D"/>
      </patternFill>
    </fill>
    <fill>
      <patternFill patternType="solid">
        <fgColor rgb="FF99FF99"/>
        <bgColor indexed="64"/>
      </patternFill>
    </fill>
    <fill>
      <patternFill patternType="solid">
        <fgColor rgb="FFCCFFCC"/>
        <bgColor indexed="64"/>
      </patternFill>
    </fill>
    <fill>
      <patternFill patternType="solid">
        <fgColor theme="2" tint="-0.499984740745262"/>
        <bgColor indexed="64"/>
      </patternFill>
    </fill>
    <fill>
      <patternFill patternType="solid">
        <fgColor theme="0"/>
        <bgColor rgb="FFE0FACD"/>
      </patternFill>
    </fill>
    <fill>
      <patternFill patternType="solid">
        <fgColor theme="0"/>
        <bgColor rgb="FFCCF1B0"/>
      </patternFill>
    </fill>
    <fill>
      <patternFill patternType="solid">
        <fgColor theme="0"/>
        <bgColor rgb="FFEDFFE0"/>
      </patternFill>
    </fill>
    <fill>
      <patternFill patternType="solid">
        <fgColor theme="0"/>
        <bgColor rgb="FFFFD966"/>
      </patternFill>
    </fill>
    <fill>
      <patternFill patternType="solid">
        <fgColor theme="0"/>
        <bgColor rgb="FFFFF2CC"/>
      </patternFill>
    </fill>
    <fill>
      <patternFill patternType="solid">
        <fgColor theme="0"/>
        <bgColor rgb="FFFFE599"/>
      </patternFill>
    </fill>
    <fill>
      <patternFill patternType="solid">
        <fgColor theme="0"/>
        <bgColor rgb="FFF191E4"/>
      </patternFill>
    </fill>
    <fill>
      <patternFill patternType="solid">
        <fgColor theme="0"/>
        <bgColor rgb="FFFAC7F3"/>
      </patternFill>
    </fill>
    <fill>
      <patternFill patternType="solid">
        <fgColor theme="0"/>
        <bgColor rgb="FFB3CEFA"/>
      </patternFill>
    </fill>
    <fill>
      <patternFill patternType="solid">
        <fgColor theme="0"/>
        <bgColor rgb="FF9FC5E8"/>
      </patternFill>
    </fill>
    <fill>
      <patternFill patternType="solid">
        <fgColor theme="0"/>
        <bgColor rgb="FFCFE2F3"/>
      </patternFill>
    </fill>
    <fill>
      <patternFill patternType="solid">
        <fgColor theme="0"/>
        <bgColor rgb="FFE7F4FF"/>
      </patternFill>
    </fill>
    <fill>
      <patternFill patternType="solid">
        <fgColor theme="0"/>
        <bgColor rgb="FFF1C232"/>
      </patternFill>
    </fill>
    <fill>
      <patternFill patternType="solid">
        <fgColor theme="0"/>
        <bgColor rgb="FFA4C2F4"/>
      </patternFill>
    </fill>
    <fill>
      <patternFill patternType="solid">
        <fgColor theme="0"/>
        <bgColor rgb="FFC4F7A2"/>
      </patternFill>
    </fill>
    <fill>
      <patternFill patternType="solid">
        <fgColor theme="0"/>
        <bgColor rgb="FFD5F8BD"/>
      </patternFill>
    </fill>
    <fill>
      <patternFill patternType="solid">
        <fgColor theme="0"/>
        <bgColor rgb="FFDFFCCB"/>
      </patternFill>
    </fill>
    <fill>
      <patternFill patternType="solid">
        <fgColor theme="0"/>
        <bgColor rgb="FFECF8E3"/>
      </patternFill>
    </fill>
    <fill>
      <patternFill patternType="solid">
        <fgColor theme="0"/>
        <bgColor rgb="FFFF53D2"/>
      </patternFill>
    </fill>
    <fill>
      <patternFill patternType="solid">
        <fgColor theme="0"/>
        <bgColor rgb="FFFAAAE5"/>
      </patternFill>
    </fill>
    <fill>
      <patternFill patternType="solid">
        <fgColor theme="0"/>
        <bgColor rgb="FFFF98E4"/>
      </patternFill>
    </fill>
    <fill>
      <patternFill patternType="solid">
        <fgColor theme="0"/>
        <bgColor rgb="FFFFCBF1"/>
      </patternFill>
    </fill>
    <fill>
      <patternFill patternType="solid">
        <fgColor theme="0"/>
        <bgColor rgb="FFFF8EE1"/>
      </patternFill>
    </fill>
    <fill>
      <patternFill patternType="solid">
        <fgColor theme="0"/>
        <bgColor rgb="FFFFFE83"/>
      </patternFill>
    </fill>
    <fill>
      <patternFill patternType="solid">
        <fgColor theme="0"/>
        <bgColor rgb="FFFFFEA4"/>
      </patternFill>
    </fill>
    <fill>
      <patternFill patternType="solid">
        <fgColor theme="0"/>
        <bgColor rgb="FFFDFDC3"/>
      </patternFill>
    </fill>
    <fill>
      <patternFill patternType="solid">
        <fgColor theme="0"/>
        <bgColor rgb="FFB7B7B7"/>
      </patternFill>
    </fill>
    <fill>
      <patternFill patternType="solid">
        <fgColor theme="0"/>
        <bgColor rgb="FFCCCCCC"/>
      </patternFill>
    </fill>
    <fill>
      <patternFill patternType="solid">
        <fgColor theme="0"/>
        <bgColor rgb="FFEFEFEF"/>
      </patternFill>
    </fill>
    <fill>
      <patternFill patternType="solid">
        <fgColor theme="0"/>
        <bgColor rgb="FFFF9900"/>
      </patternFill>
    </fill>
    <fill>
      <patternFill patternType="solid">
        <fgColor rgb="FF70AD47"/>
        <bgColor rgb="FF70AD47"/>
      </patternFill>
    </fill>
    <fill>
      <patternFill patternType="solid">
        <fgColor theme="9"/>
        <bgColor rgb="FFA8D08D"/>
      </patternFill>
    </fill>
    <fill>
      <patternFill patternType="solid">
        <fgColor theme="9"/>
        <bgColor indexed="64"/>
      </patternFill>
    </fill>
    <fill>
      <patternFill patternType="solid">
        <fgColor rgb="FF92D050"/>
        <bgColor rgb="FFA8D08D"/>
      </patternFill>
    </fill>
    <fill>
      <patternFill patternType="solid">
        <fgColor rgb="FF92D050"/>
        <bgColor indexed="64"/>
      </patternFill>
    </fill>
    <fill>
      <patternFill patternType="solid">
        <fgColor theme="0"/>
        <bgColor rgb="FFA8D08D"/>
      </patternFill>
    </fill>
    <fill>
      <patternFill patternType="solid">
        <fgColor theme="4" tint="0.79998168889431442"/>
        <bgColor indexed="64"/>
      </patternFill>
    </fill>
    <fill>
      <patternFill patternType="solid">
        <fgColor theme="8" tint="0.79998168889431442"/>
        <bgColor indexed="64"/>
      </patternFill>
    </fill>
    <fill>
      <patternFill patternType="solid">
        <fgColor rgb="FF66FF66"/>
        <bgColor rgb="FFA8D08D"/>
      </patternFill>
    </fill>
    <fill>
      <patternFill patternType="solid">
        <fgColor rgb="FF66FF66"/>
        <bgColor indexed="64"/>
      </patternFill>
    </fill>
    <fill>
      <patternFill patternType="solid">
        <fgColor theme="5" tint="0.39997558519241921"/>
        <bgColor rgb="FFEFEFEF"/>
      </patternFill>
    </fill>
    <fill>
      <patternFill patternType="solid">
        <fgColor theme="5" tint="0.39997558519241921"/>
        <bgColor indexed="64"/>
      </patternFill>
    </fill>
    <fill>
      <patternFill patternType="solid">
        <fgColor rgb="FFE1FFE1"/>
        <bgColor indexed="64"/>
      </patternFill>
    </fill>
  </fills>
  <borders count="11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style="medium">
        <color rgb="FFCCCCCC"/>
      </top>
      <bottom style="thin">
        <color indexed="64"/>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style="medium">
        <color indexed="64"/>
      </right>
      <top style="thin">
        <color rgb="FF000000"/>
      </top>
      <bottom/>
      <diagonal/>
    </border>
    <border>
      <left/>
      <right style="medium">
        <color indexed="64"/>
      </right>
      <top style="thin">
        <color rgb="FF000000"/>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style="thin">
        <color rgb="FF000000"/>
      </left>
      <right style="thin">
        <color rgb="FF000000"/>
      </right>
      <top style="thin">
        <color rgb="FF000000"/>
      </top>
      <bottom/>
      <diagonal/>
    </border>
    <border>
      <left/>
      <right style="medium">
        <color indexed="64"/>
      </right>
      <top style="thin">
        <color indexed="64"/>
      </top>
      <bottom style="thin">
        <color rgb="FF000000"/>
      </bottom>
      <diagonal/>
    </border>
    <border>
      <left style="medium">
        <color indexed="64"/>
      </left>
      <right style="thin">
        <color indexed="64"/>
      </right>
      <top style="thin">
        <color indexed="64"/>
      </top>
      <bottom/>
      <diagonal/>
    </border>
    <border>
      <left style="medium">
        <color indexed="64"/>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indexed="64"/>
      </right>
      <top style="thin">
        <color indexed="64"/>
      </top>
      <bottom style="thin">
        <color rgb="FF000000"/>
      </bottom>
      <diagonal/>
    </border>
    <border>
      <left/>
      <right style="medium">
        <color rgb="FF000000"/>
      </right>
      <top/>
      <bottom/>
      <diagonal/>
    </border>
    <border>
      <left style="medium">
        <color rgb="FFCCCCCC"/>
      </left>
      <right style="medium">
        <color rgb="FF000000"/>
      </right>
      <top/>
      <bottom/>
      <diagonal/>
    </border>
    <border>
      <left/>
      <right style="medium">
        <color rgb="FF000000"/>
      </right>
      <top/>
      <bottom style="thin">
        <color indexed="64"/>
      </bottom>
      <diagonal/>
    </border>
    <border>
      <left style="medium">
        <color indexed="64"/>
      </left>
      <right style="medium">
        <color indexed="64"/>
      </right>
      <top style="medium">
        <color rgb="FFCCCCCC"/>
      </top>
      <bottom/>
      <diagonal/>
    </border>
    <border>
      <left/>
      <right/>
      <top style="medium">
        <color rgb="FFCCCCCC"/>
      </top>
      <bottom/>
      <diagonal/>
    </border>
    <border>
      <left style="medium">
        <color indexed="64"/>
      </left>
      <right style="medium">
        <color indexed="64"/>
      </right>
      <top style="thin">
        <color indexed="64"/>
      </top>
      <bottom style="thin">
        <color rgb="FF000000"/>
      </bottom>
      <diagonal/>
    </border>
    <border>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rgb="FF000000"/>
      </top>
      <bottom style="thin">
        <color indexed="64"/>
      </bottom>
      <diagonal/>
    </border>
    <border>
      <left style="medium">
        <color indexed="64"/>
      </left>
      <right style="medium">
        <color indexed="64"/>
      </right>
      <top style="medium">
        <color rgb="FFCCCCCC"/>
      </top>
      <bottom style="thin">
        <color indexed="64"/>
      </bottom>
      <diagonal/>
    </border>
    <border>
      <left style="medium">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indexed="64"/>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medium">
        <color rgb="FFCCCCCC"/>
      </left>
      <right style="medium">
        <color rgb="FF000000"/>
      </right>
      <top/>
      <bottom style="medium">
        <color rgb="FF000000"/>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thin">
        <color rgb="FF0000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0" fontId="1"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cellStyleXfs>
  <cellXfs count="1990">
    <xf numFmtId="0" fontId="0" fillId="0" borderId="0" xfId="0"/>
    <xf numFmtId="0" fontId="3" fillId="0" borderId="0" xfId="0" applyFont="1"/>
    <xf numFmtId="0" fontId="0" fillId="0" borderId="0" xfId="0"/>
    <xf numFmtId="0" fontId="4" fillId="0" borderId="0" xfId="0" applyFont="1" applyFill="1" applyAlignment="1">
      <alignment vertical="center" wrapText="1"/>
    </xf>
    <xf numFmtId="0" fontId="4" fillId="0" borderId="0" xfId="0" applyFont="1" applyBorder="1" applyAlignment="1">
      <alignment vertical="center"/>
    </xf>
    <xf numFmtId="0" fontId="4" fillId="0" borderId="0" xfId="4" applyFont="1" applyFill="1" applyAlignment="1">
      <alignment vertical="center" wrapText="1"/>
    </xf>
    <xf numFmtId="0" fontId="4" fillId="0" borderId="0" xfId="4" applyFont="1" applyBorder="1" applyAlignment="1">
      <alignment vertical="center"/>
    </xf>
    <xf numFmtId="0" fontId="6" fillId="0" borderId="0" xfId="4" applyAlignment="1">
      <alignment vertical="center"/>
    </xf>
    <xf numFmtId="0" fontId="10" fillId="6" borderId="1" xfId="4" applyFont="1" applyFill="1" applyBorder="1" applyAlignment="1">
      <alignment horizontal="center" vertical="center" wrapText="1"/>
    </xf>
    <xf numFmtId="0" fontId="10" fillId="0" borderId="30" xfId="4" applyFont="1" applyBorder="1" applyAlignment="1">
      <alignment vertical="center" wrapText="1"/>
    </xf>
    <xf numFmtId="0" fontId="11" fillId="0" borderId="30" xfId="4" applyFont="1" applyBorder="1" applyAlignment="1">
      <alignment horizontal="justify" vertical="center" wrapText="1"/>
    </xf>
    <xf numFmtId="0" fontId="10" fillId="0" borderId="34" xfId="4" applyFont="1" applyBorder="1" applyAlignment="1">
      <alignment vertical="center" wrapText="1"/>
    </xf>
    <xf numFmtId="0" fontId="11" fillId="0" borderId="34" xfId="4" applyFont="1" applyBorder="1" applyAlignment="1">
      <alignment horizontal="justify" vertical="center" wrapText="1"/>
    </xf>
    <xf numFmtId="0" fontId="0" fillId="0" borderId="0" xfId="0" applyAlignment="1">
      <alignment vertical="center"/>
    </xf>
    <xf numFmtId="0" fontId="3" fillId="0" borderId="21" xfId="0" applyFont="1" applyBorder="1" applyAlignment="1">
      <alignment vertical="center"/>
    </xf>
    <xf numFmtId="0" fontId="0" fillId="0" borderId="22" xfId="0" applyBorder="1" applyAlignment="1">
      <alignment vertical="center"/>
    </xf>
    <xf numFmtId="0" fontId="3" fillId="0" borderId="23" xfId="0" applyFont="1" applyBorder="1" applyAlignment="1">
      <alignment vertical="center"/>
    </xf>
    <xf numFmtId="0" fontId="0" fillId="0" borderId="24" xfId="0" applyBorder="1" applyAlignment="1">
      <alignment vertical="center"/>
    </xf>
    <xf numFmtId="0" fontId="3" fillId="0" borderId="25" xfId="0" applyFont="1" applyBorder="1" applyAlignment="1">
      <alignment vertical="center"/>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7" xfId="0" applyFont="1" applyFill="1" applyBorder="1" applyAlignment="1">
      <alignment vertical="center" wrapText="1"/>
    </xf>
    <xf numFmtId="49" fontId="14" fillId="0" borderId="43" xfId="4" applyNumberFormat="1" applyFont="1" applyBorder="1" applyAlignment="1">
      <alignment vertical="center" wrapText="1"/>
    </xf>
    <xf numFmtId="49" fontId="15" fillId="0" borderId="42" xfId="4" applyNumberFormat="1" applyFont="1" applyBorder="1" applyAlignment="1">
      <alignment horizontal="center" vertical="center" wrapText="1"/>
    </xf>
    <xf numFmtId="49" fontId="14" fillId="3" borderId="42" xfId="4" applyNumberFormat="1" applyFont="1" applyFill="1" applyBorder="1" applyAlignment="1">
      <alignment horizontal="center" vertical="center" wrapText="1"/>
    </xf>
    <xf numFmtId="0" fontId="3" fillId="0" borderId="0" xfId="0" applyFont="1" applyAlignment="1">
      <alignment horizontal="center" wrapText="1"/>
    </xf>
    <xf numFmtId="49" fontId="16" fillId="12" borderId="42" xfId="4" applyNumberFormat="1" applyFont="1" applyFill="1" applyBorder="1" applyAlignment="1">
      <alignment horizontal="center" vertical="center"/>
    </xf>
    <xf numFmtId="49" fontId="16" fillId="13" borderId="42" xfId="4" applyNumberFormat="1" applyFont="1" applyFill="1" applyBorder="1" applyAlignment="1">
      <alignment horizontal="center" vertical="center"/>
    </xf>
    <xf numFmtId="0" fontId="16" fillId="0" borderId="42" xfId="4" applyFont="1" applyBorder="1" applyAlignment="1">
      <alignment horizontal="center" vertical="center"/>
    </xf>
    <xf numFmtId="167" fontId="16" fillId="0" borderId="42" xfId="3" applyNumberFormat="1" applyFont="1" applyFill="1" applyBorder="1" applyAlignment="1">
      <alignment horizontal="right" vertical="center"/>
    </xf>
    <xf numFmtId="43" fontId="16" fillId="0" borderId="42" xfId="3" applyFont="1" applyFill="1" applyBorder="1" applyAlignment="1">
      <alignment horizontal="right" vertical="center"/>
    </xf>
    <xf numFmtId="0" fontId="15" fillId="0" borderId="46" xfId="0" applyFont="1" applyBorder="1" applyAlignment="1">
      <alignment horizontal="center" vertical="center"/>
    </xf>
    <xf numFmtId="164" fontId="17" fillId="14" borderId="47" xfId="0" applyNumberFormat="1" applyFont="1" applyFill="1" applyBorder="1" applyAlignment="1">
      <alignment horizontal="center" vertical="center" wrapText="1"/>
    </xf>
    <xf numFmtId="49" fontId="17" fillId="15" borderId="48" xfId="0" applyNumberFormat="1" applyFont="1" applyFill="1" applyBorder="1" applyAlignment="1">
      <alignment horizontal="center" vertical="center"/>
    </xf>
    <xf numFmtId="0" fontId="7" fillId="15" borderId="48" xfId="0" applyFont="1" applyFill="1" applyBorder="1"/>
    <xf numFmtId="164" fontId="7" fillId="15" borderId="48" xfId="3" applyNumberFormat="1" applyFont="1" applyFill="1" applyBorder="1" applyAlignment="1">
      <alignment horizontal="center"/>
    </xf>
    <xf numFmtId="168" fontId="7" fillId="15" borderId="48" xfId="3" applyNumberFormat="1" applyFont="1" applyFill="1" applyBorder="1" applyAlignment="1">
      <alignment horizontal="center"/>
    </xf>
    <xf numFmtId="0" fontId="20" fillId="0" borderId="46" xfId="0" applyFont="1" applyBorder="1" applyAlignment="1">
      <alignment horizontal="left" vertical="center"/>
    </xf>
    <xf numFmtId="49" fontId="17" fillId="16" borderId="48" xfId="0" applyNumberFormat="1" applyFont="1" applyFill="1" applyBorder="1" applyAlignment="1">
      <alignment horizontal="center" vertical="center"/>
    </xf>
    <xf numFmtId="0" fontId="7" fillId="16" borderId="48" xfId="0" applyFont="1" applyFill="1" applyBorder="1"/>
    <xf numFmtId="164" fontId="7" fillId="16" borderId="48" xfId="3" applyNumberFormat="1" applyFont="1" applyFill="1" applyBorder="1" applyAlignment="1">
      <alignment horizontal="center"/>
    </xf>
    <xf numFmtId="169" fontId="7" fillId="16" borderId="48" xfId="3" applyNumberFormat="1" applyFont="1" applyFill="1" applyBorder="1" applyAlignment="1">
      <alignment horizontal="center"/>
    </xf>
    <xf numFmtId="0" fontId="17" fillId="16" borderId="48" xfId="0" applyFont="1" applyFill="1" applyBorder="1" applyAlignment="1">
      <alignment horizontal="center" vertical="center"/>
    </xf>
    <xf numFmtId="0" fontId="21" fillId="0" borderId="48" xfId="0" applyFont="1" applyBorder="1" applyAlignment="1">
      <alignment horizontal="center" vertical="center"/>
    </xf>
    <xf numFmtId="49" fontId="21" fillId="0" borderId="48" xfId="0" applyNumberFormat="1" applyFont="1" applyBorder="1" applyAlignment="1">
      <alignment horizontal="center" vertical="center"/>
    </xf>
    <xf numFmtId="49" fontId="17" fillId="0" borderId="48" xfId="0" applyNumberFormat="1" applyFont="1" applyBorder="1" applyAlignment="1">
      <alignment horizontal="center" vertical="center"/>
    </xf>
    <xf numFmtId="0" fontId="4" fillId="0" borderId="48" xfId="0" applyFont="1" applyBorder="1"/>
    <xf numFmtId="164" fontId="4" fillId="0" borderId="48" xfId="3" applyNumberFormat="1" applyFont="1" applyBorder="1" applyAlignment="1">
      <alignment horizontal="center"/>
    </xf>
    <xf numFmtId="169" fontId="4" fillId="0" borderId="48" xfId="3" applyNumberFormat="1" applyFont="1" applyBorder="1" applyAlignment="1">
      <alignment horizontal="center"/>
    </xf>
    <xf numFmtId="0" fontId="17" fillId="17" borderId="48" xfId="0" applyFont="1" applyFill="1" applyBorder="1" applyAlignment="1">
      <alignment horizontal="center" vertical="center"/>
    </xf>
    <xf numFmtId="49" fontId="17" fillId="17" borderId="48" xfId="0" applyNumberFormat="1" applyFont="1" applyFill="1" applyBorder="1" applyAlignment="1">
      <alignment horizontal="center" vertical="center"/>
    </xf>
    <xf numFmtId="0" fontId="7" fillId="17" borderId="48" xfId="0" applyFont="1" applyFill="1" applyBorder="1"/>
    <xf numFmtId="164" fontId="7" fillId="17" borderId="48" xfId="3" applyNumberFormat="1" applyFont="1" applyFill="1" applyBorder="1" applyAlignment="1">
      <alignment horizontal="center"/>
    </xf>
    <xf numFmtId="169" fontId="7" fillId="17" borderId="48" xfId="3" applyNumberFormat="1" applyFont="1" applyFill="1" applyBorder="1" applyAlignment="1">
      <alignment horizontal="center"/>
    </xf>
    <xf numFmtId="164" fontId="4" fillId="0" borderId="48" xfId="3" applyNumberFormat="1" applyFont="1" applyFill="1" applyBorder="1" applyAlignment="1">
      <alignment horizontal="center"/>
    </xf>
    <xf numFmtId="169" fontId="4" fillId="0" borderId="48" xfId="3" applyNumberFormat="1" applyFont="1" applyFill="1" applyBorder="1" applyAlignment="1">
      <alignment horizontal="center"/>
    </xf>
    <xf numFmtId="164" fontId="7" fillId="0" borderId="48" xfId="3" applyNumberFormat="1" applyFont="1" applyFill="1" applyBorder="1" applyAlignment="1">
      <alignment horizontal="center"/>
    </xf>
    <xf numFmtId="169" fontId="7" fillId="0" borderId="48" xfId="3" applyNumberFormat="1" applyFont="1" applyFill="1" applyBorder="1" applyAlignment="1">
      <alignment horizontal="center"/>
    </xf>
    <xf numFmtId="0" fontId="21" fillId="17" borderId="48" xfId="0" applyFont="1" applyFill="1" applyBorder="1" applyAlignment="1">
      <alignment horizontal="center" vertical="center"/>
    </xf>
    <xf numFmtId="49" fontId="21" fillId="17" borderId="48" xfId="0" applyNumberFormat="1" applyFont="1" applyFill="1" applyBorder="1" applyAlignment="1">
      <alignment horizontal="center" vertical="center"/>
    </xf>
    <xf numFmtId="164" fontId="4" fillId="17" borderId="48" xfId="3" applyNumberFormat="1" applyFont="1" applyFill="1" applyBorder="1" applyAlignment="1">
      <alignment horizontal="center"/>
    </xf>
    <xf numFmtId="169" fontId="4" fillId="17" borderId="48" xfId="3" applyNumberFormat="1" applyFont="1" applyFill="1" applyBorder="1" applyAlignment="1">
      <alignment horizontal="center"/>
    </xf>
    <xf numFmtId="169" fontId="7" fillId="16" borderId="48" xfId="3" applyNumberFormat="1" applyFont="1" applyFill="1" applyBorder="1"/>
    <xf numFmtId="164" fontId="7" fillId="17" borderId="48" xfId="3" applyNumberFormat="1" applyFont="1" applyFill="1" applyBorder="1"/>
    <xf numFmtId="169" fontId="7" fillId="17" borderId="48" xfId="3" applyNumberFormat="1" applyFont="1" applyFill="1" applyBorder="1"/>
    <xf numFmtId="164" fontId="4" fillId="0" borderId="48" xfId="3" applyNumberFormat="1" applyFont="1" applyBorder="1"/>
    <xf numFmtId="169" fontId="4" fillId="0" borderId="48" xfId="3" applyNumberFormat="1" applyFont="1" applyBorder="1"/>
    <xf numFmtId="0" fontId="21" fillId="16" borderId="48" xfId="0" applyFont="1" applyFill="1" applyBorder="1" applyAlignment="1">
      <alignment horizontal="center" vertical="center"/>
    </xf>
    <xf numFmtId="0" fontId="4" fillId="16" borderId="48" xfId="0" applyFont="1" applyFill="1" applyBorder="1"/>
    <xf numFmtId="0" fontId="4" fillId="17" borderId="48" xfId="0" quotePrefix="1" applyFont="1" applyFill="1" applyBorder="1" applyAlignment="1">
      <alignment horizontal="left"/>
    </xf>
    <xf numFmtId="0" fontId="4" fillId="0" borderId="48" xfId="0" quotePrefix="1" applyFont="1" applyBorder="1" applyAlignment="1">
      <alignment horizontal="left"/>
    </xf>
    <xf numFmtId="164" fontId="21" fillId="16" borderId="48" xfId="3" applyNumberFormat="1" applyFont="1" applyFill="1" applyBorder="1" applyAlignment="1">
      <alignment horizontal="center" vertical="center"/>
    </xf>
    <xf numFmtId="43" fontId="21" fillId="16" borderId="48" xfId="3" applyFont="1" applyFill="1" applyBorder="1" applyAlignment="1">
      <alignment horizontal="center" vertical="center"/>
    </xf>
    <xf numFmtId="0" fontId="23" fillId="0" borderId="0" xfId="0" applyFont="1" applyAlignment="1">
      <alignment horizontal="left" vertical="center"/>
    </xf>
    <xf numFmtId="0" fontId="7" fillId="6" borderId="12" xfId="4" applyFont="1" applyFill="1" applyBorder="1" applyAlignment="1">
      <alignment horizontal="center" vertical="center" wrapText="1"/>
    </xf>
    <xf numFmtId="49" fontId="24" fillId="0" borderId="39" xfId="4" quotePrefix="1" applyNumberFormat="1" applyFont="1" applyBorder="1" applyAlignment="1">
      <alignment horizontal="left" vertical="center" wrapText="1"/>
    </xf>
    <xf numFmtId="0" fontId="25" fillId="0" borderId="39" xfId="0" quotePrefix="1" applyFont="1" applyBorder="1" applyAlignment="1">
      <alignment horizontal="left" vertical="center" wrapText="1"/>
    </xf>
    <xf numFmtId="49" fontId="24" fillId="0" borderId="42" xfId="4" applyNumberFormat="1" applyFont="1" applyBorder="1" applyAlignment="1">
      <alignment horizontal="left" vertical="center" wrapText="1"/>
    </xf>
    <xf numFmtId="0" fontId="25" fillId="0" borderId="39" xfId="0" applyFont="1" applyBorder="1" applyAlignment="1">
      <alignment vertical="center" wrapText="1"/>
    </xf>
    <xf numFmtId="49" fontId="7" fillId="0" borderId="42" xfId="4" applyNumberFormat="1" applyFont="1" applyBorder="1" applyAlignment="1">
      <alignment horizontal="left" vertical="center" wrapText="1"/>
    </xf>
    <xf numFmtId="49" fontId="24" fillId="3" borderId="42" xfId="4" applyNumberFormat="1" applyFont="1" applyFill="1" applyBorder="1" applyAlignment="1">
      <alignment horizontal="left" vertical="center" wrapText="1"/>
    </xf>
    <xf numFmtId="49" fontId="24" fillId="3" borderId="43" xfId="4" applyNumberFormat="1" applyFont="1" applyFill="1" applyBorder="1" applyAlignment="1">
      <alignment horizontal="left" vertical="center" wrapText="1"/>
    </xf>
    <xf numFmtId="49" fontId="24" fillId="0" borderId="43" xfId="4" applyNumberFormat="1" applyFont="1" applyBorder="1" applyAlignment="1">
      <alignment horizontal="left" vertical="center" wrapText="1"/>
    </xf>
    <xf numFmtId="49" fontId="23" fillId="0" borderId="42" xfId="4" quotePrefix="1" applyNumberFormat="1" applyFont="1" applyBorder="1" applyAlignment="1">
      <alignment horizontal="left" vertical="center" wrapText="1"/>
    </xf>
    <xf numFmtId="49" fontId="24" fillId="0" borderId="42" xfId="4" quotePrefix="1" applyNumberFormat="1" applyFont="1" applyBorder="1" applyAlignment="1">
      <alignment horizontal="left" vertical="center" wrapText="1"/>
    </xf>
    <xf numFmtId="0" fontId="23" fillId="0" borderId="0" xfId="0" applyFont="1"/>
    <xf numFmtId="0" fontId="4" fillId="0" borderId="16" xfId="1" applyFont="1" applyBorder="1" applyAlignment="1" applyProtection="1">
      <alignment horizontal="left" vertical="top"/>
    </xf>
    <xf numFmtId="10" fontId="8" fillId="6" borderId="7" xfId="2" applyNumberFormat="1" applyFont="1" applyFill="1" applyBorder="1" applyAlignment="1">
      <alignment horizontal="center" vertical="center" wrapText="1"/>
    </xf>
    <xf numFmtId="0" fontId="16" fillId="0" borderId="42" xfId="4" applyFont="1" applyBorder="1" applyAlignment="1">
      <alignment horizontal="left" vertical="center"/>
    </xf>
    <xf numFmtId="0" fontId="0" fillId="0" borderId="0" xfId="0"/>
    <xf numFmtId="0" fontId="14" fillId="0" borderId="43" xfId="4" applyFont="1" applyBorder="1" applyAlignment="1">
      <alignment vertical="center" wrapText="1"/>
    </xf>
    <xf numFmtId="49" fontId="16" fillId="0" borderId="42" xfId="4" applyNumberFormat="1" applyFont="1" applyBorder="1" applyAlignment="1">
      <alignment horizontal="center" vertical="center"/>
    </xf>
    <xf numFmtId="10" fontId="16" fillId="0" borderId="42" xfId="2" applyNumberFormat="1" applyFont="1" applyFill="1" applyBorder="1" applyAlignment="1">
      <alignment horizontal="right" vertical="center"/>
    </xf>
    <xf numFmtId="0" fontId="4" fillId="0" borderId="0" xfId="4" applyFont="1" applyFill="1" applyAlignment="1">
      <alignment horizontal="center" vertical="center" wrapText="1"/>
    </xf>
    <xf numFmtId="49" fontId="17" fillId="19" borderId="48" xfId="0" applyNumberFormat="1" applyFont="1" applyFill="1" applyBorder="1" applyAlignment="1">
      <alignment horizontal="center" vertical="center"/>
    </xf>
    <xf numFmtId="0" fontId="21" fillId="19" borderId="48" xfId="0" applyFont="1" applyFill="1" applyBorder="1" applyAlignment="1">
      <alignment horizontal="center" vertical="center"/>
    </xf>
    <xf numFmtId="0" fontId="30" fillId="0" borderId="30" xfId="4" applyFont="1" applyBorder="1" applyAlignment="1">
      <alignment vertical="center" wrapText="1"/>
    </xf>
    <xf numFmtId="0" fontId="31" fillId="0" borderId="30" xfId="4" applyFont="1" applyBorder="1" applyAlignment="1">
      <alignment horizontal="justify" vertical="center" wrapText="1"/>
    </xf>
    <xf numFmtId="0" fontId="4" fillId="0" borderId="30" xfId="4" applyFont="1" applyFill="1" applyBorder="1" applyAlignment="1">
      <alignment vertical="center" wrapText="1"/>
    </xf>
    <xf numFmtId="0" fontId="32" fillId="0" borderId="0" xfId="4" applyFont="1" applyAlignment="1">
      <alignment vertical="center"/>
    </xf>
    <xf numFmtId="0" fontId="7" fillId="0" borderId="0" xfId="4" applyFont="1" applyBorder="1" applyAlignment="1">
      <alignment horizontal="right" vertical="center"/>
    </xf>
    <xf numFmtId="0" fontId="4" fillId="23" borderId="30" xfId="4" applyFont="1" applyFill="1" applyBorder="1" applyAlignment="1">
      <alignment vertical="center" wrapText="1"/>
    </xf>
    <xf numFmtId="0" fontId="7" fillId="0" borderId="29" xfId="4" applyFont="1" applyFill="1" applyBorder="1" applyAlignment="1">
      <alignment horizontal="center" vertical="center" wrapText="1"/>
    </xf>
    <xf numFmtId="0" fontId="7" fillId="0" borderId="33" xfId="4" applyFont="1" applyFill="1" applyBorder="1" applyAlignment="1">
      <alignment horizontal="center" vertical="center" wrapText="1"/>
    </xf>
    <xf numFmtId="0" fontId="4" fillId="0" borderId="30" xfId="4" applyFont="1" applyFill="1" applyBorder="1" applyAlignment="1">
      <alignment horizontal="center" vertical="center" wrapText="1"/>
    </xf>
    <xf numFmtId="0" fontId="4" fillId="0" borderId="34" xfId="4" applyFont="1" applyFill="1" applyBorder="1" applyAlignment="1">
      <alignment horizontal="center" vertical="center" wrapText="1"/>
    </xf>
    <xf numFmtId="170" fontId="8" fillId="6" borderId="7" xfId="4" applyNumberFormat="1" applyFont="1" applyFill="1" applyBorder="1" applyAlignment="1">
      <alignment horizontal="center" vertical="center" wrapText="1"/>
    </xf>
    <xf numFmtId="0" fontId="0" fillId="0" borderId="0" xfId="0" applyFont="1" applyAlignment="1">
      <alignment vertical="center"/>
    </xf>
    <xf numFmtId="164" fontId="0" fillId="0" borderId="0" xfId="0" applyNumberFormat="1" applyFont="1" applyAlignment="1">
      <alignment vertical="center"/>
    </xf>
    <xf numFmtId="0" fontId="7" fillId="15" borderId="48" xfId="0" applyFont="1" applyFill="1" applyBorder="1" applyAlignment="1">
      <alignment vertical="center"/>
    </xf>
    <xf numFmtId="164" fontId="7" fillId="15" borderId="48" xfId="3" applyNumberFormat="1" applyFont="1" applyFill="1" applyBorder="1" applyAlignment="1">
      <alignment horizontal="center" vertical="center"/>
    </xf>
    <xf numFmtId="169" fontId="7" fillId="15" borderId="48" xfId="3" applyNumberFormat="1" applyFont="1" applyFill="1" applyBorder="1" applyAlignment="1">
      <alignment horizontal="center" vertical="center"/>
    </xf>
    <xf numFmtId="0" fontId="7" fillId="16" borderId="48" xfId="0" applyFont="1" applyFill="1" applyBorder="1" applyAlignment="1">
      <alignment vertical="center"/>
    </xf>
    <xf numFmtId="164" fontId="4" fillId="16" borderId="48" xfId="3" applyNumberFormat="1" applyFont="1" applyFill="1" applyBorder="1" applyAlignment="1">
      <alignment horizontal="center" vertical="center"/>
    </xf>
    <xf numFmtId="0" fontId="4" fillId="16" borderId="48" xfId="0" applyFont="1" applyFill="1" applyBorder="1" applyAlignment="1">
      <alignment vertical="center"/>
    </xf>
    <xf numFmtId="169" fontId="4" fillId="16" borderId="48" xfId="3" applyNumberFormat="1" applyFont="1" applyFill="1" applyBorder="1" applyAlignment="1">
      <alignment horizontal="center" vertical="center"/>
    </xf>
    <xf numFmtId="0" fontId="4" fillId="17" borderId="48" xfId="0" quotePrefix="1" applyFont="1" applyFill="1" applyBorder="1" applyAlignment="1">
      <alignment horizontal="left" vertical="center"/>
    </xf>
    <xf numFmtId="164" fontId="4" fillId="17" borderId="48" xfId="3" applyNumberFormat="1" applyFont="1" applyFill="1" applyBorder="1" applyAlignment="1">
      <alignment horizontal="center" vertical="center"/>
    </xf>
    <xf numFmtId="169" fontId="4" fillId="17" borderId="48" xfId="3" applyNumberFormat="1" applyFont="1" applyFill="1" applyBorder="1" applyAlignment="1">
      <alignment horizontal="center" vertical="center"/>
    </xf>
    <xf numFmtId="0" fontId="4" fillId="0" borderId="48" xfId="0" quotePrefix="1" applyFont="1" applyBorder="1" applyAlignment="1">
      <alignment horizontal="left" vertical="center"/>
    </xf>
    <xf numFmtId="164" fontId="4" fillId="0" borderId="48" xfId="3" applyNumberFormat="1" applyFont="1" applyBorder="1" applyAlignment="1">
      <alignment horizontal="center" vertical="center"/>
    </xf>
    <xf numFmtId="169" fontId="4" fillId="0" borderId="48" xfId="3" applyNumberFormat="1" applyFont="1" applyBorder="1" applyAlignment="1">
      <alignment horizontal="center" vertical="center"/>
    </xf>
    <xf numFmtId="0" fontId="4" fillId="17" borderId="48" xfId="0" quotePrefix="1" applyFont="1" applyFill="1" applyBorder="1" applyAlignment="1">
      <alignment horizontal="center" vertical="center"/>
    </xf>
    <xf numFmtId="164" fontId="4" fillId="17" borderId="48" xfId="3" quotePrefix="1" applyNumberFormat="1" applyFont="1" applyFill="1" applyBorder="1" applyAlignment="1">
      <alignment horizontal="left" vertical="center"/>
    </xf>
    <xf numFmtId="43" fontId="4" fillId="17" borderId="48" xfId="3" quotePrefix="1" applyFont="1" applyFill="1" applyBorder="1" applyAlignment="1">
      <alignment horizontal="left" vertical="center"/>
    </xf>
    <xf numFmtId="164" fontId="4" fillId="19" borderId="48" xfId="3" applyNumberFormat="1" applyFont="1" applyFill="1" applyBorder="1" applyAlignment="1">
      <alignment horizontal="center" vertical="center"/>
    </xf>
    <xf numFmtId="169" fontId="4" fillId="19" borderId="48" xfId="3" applyNumberFormat="1" applyFont="1" applyFill="1" applyBorder="1" applyAlignment="1">
      <alignment horizontal="center" vertical="center"/>
    </xf>
    <xf numFmtId="49" fontId="16" fillId="0" borderId="0" xfId="4" applyNumberFormat="1" applyFont="1" applyAlignment="1">
      <alignment horizontal="center" vertical="center"/>
    </xf>
    <xf numFmtId="0" fontId="16" fillId="12" borderId="42" xfId="4" applyFont="1" applyFill="1" applyBorder="1" applyAlignment="1">
      <alignment horizontal="left" vertical="center"/>
    </xf>
    <xf numFmtId="0" fontId="10" fillId="0" borderId="32" xfId="4" applyFont="1" applyBorder="1" applyAlignment="1">
      <alignment vertical="center" wrapText="1"/>
    </xf>
    <xf numFmtId="0" fontId="11" fillId="0" borderId="32" xfId="4" applyFont="1" applyBorder="1" applyAlignment="1">
      <alignment horizontal="justify" vertical="center" wrapText="1"/>
    </xf>
    <xf numFmtId="0" fontId="7" fillId="0" borderId="0" xfId="4" applyFont="1" applyFill="1" applyBorder="1" applyAlignment="1">
      <alignment horizontal="left" vertical="center" wrapText="1"/>
    </xf>
    <xf numFmtId="0" fontId="7" fillId="0" borderId="0"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5" borderId="14" xfId="4" applyFont="1" applyFill="1" applyBorder="1" applyAlignment="1">
      <alignment vertical="center" wrapText="1"/>
    </xf>
    <xf numFmtId="0" fontId="7" fillId="5" borderId="15" xfId="4" applyFont="1" applyFill="1" applyBorder="1" applyAlignment="1">
      <alignment vertical="center" wrapText="1"/>
    </xf>
    <xf numFmtId="0" fontId="7" fillId="5" borderId="15" xfId="4" applyFont="1" applyFill="1" applyBorder="1" applyAlignment="1">
      <alignment horizontal="center" vertical="center" wrapText="1"/>
    </xf>
    <xf numFmtId="0" fontId="7" fillId="5" borderId="7" xfId="4" applyFont="1" applyFill="1" applyBorder="1" applyAlignment="1">
      <alignment vertical="center" wrapText="1"/>
    </xf>
    <xf numFmtId="0" fontId="7" fillId="8" borderId="12" xfId="4" applyFont="1" applyFill="1" applyBorder="1" applyAlignment="1">
      <alignment horizontal="center" vertical="center" wrapText="1"/>
    </xf>
    <xf numFmtId="0" fontId="7" fillId="8" borderId="14" xfId="4" applyFont="1" applyFill="1" applyBorder="1" applyAlignment="1">
      <alignment horizontal="center" vertical="center" wrapText="1"/>
    </xf>
    <xf numFmtId="3" fontId="4" fillId="23" borderId="17" xfId="4" applyNumberFormat="1" applyFont="1" applyFill="1" applyBorder="1" applyAlignment="1">
      <alignment vertical="center" wrapText="1"/>
    </xf>
    <xf numFmtId="1" fontId="4" fillId="23" borderId="29" xfId="4" applyNumberFormat="1" applyFont="1" applyFill="1" applyBorder="1" applyAlignment="1">
      <alignment horizontal="center" vertical="center" wrapText="1"/>
    </xf>
    <xf numFmtId="9" fontId="4" fillId="23" borderId="30" xfId="2" applyFont="1" applyFill="1" applyBorder="1" applyAlignment="1">
      <alignment horizontal="center" vertical="center" wrapText="1"/>
    </xf>
    <xf numFmtId="3" fontId="4" fillId="23" borderId="29" xfId="4" applyNumberFormat="1" applyFont="1" applyFill="1" applyBorder="1" applyAlignment="1">
      <alignment vertical="center" wrapText="1"/>
    </xf>
    <xf numFmtId="3" fontId="4" fillId="23" borderId="30" xfId="4" applyNumberFormat="1" applyFont="1" applyFill="1" applyBorder="1" applyAlignment="1">
      <alignment vertical="center" wrapText="1"/>
    </xf>
    <xf numFmtId="3" fontId="7" fillId="23" borderId="59" xfId="4" applyNumberFormat="1" applyFont="1" applyFill="1" applyBorder="1" applyAlignment="1">
      <alignment vertical="center" wrapText="1"/>
    </xf>
    <xf numFmtId="3" fontId="4" fillId="0" borderId="17" xfId="4" applyNumberFormat="1" applyFont="1" applyFill="1" applyBorder="1" applyAlignment="1">
      <alignment vertical="center" wrapText="1"/>
    </xf>
    <xf numFmtId="1" fontId="4" fillId="0" borderId="29" xfId="4" applyNumberFormat="1" applyFont="1" applyFill="1" applyBorder="1" applyAlignment="1">
      <alignment horizontal="center" vertical="center" wrapText="1"/>
    </xf>
    <xf numFmtId="170" fontId="4" fillId="0" borderId="30" xfId="2" applyNumberFormat="1" applyFont="1" applyFill="1" applyBorder="1" applyAlignment="1">
      <alignment horizontal="center" vertical="center" wrapText="1"/>
    </xf>
    <xf numFmtId="3" fontId="4" fillId="0" borderId="29" xfId="4" applyNumberFormat="1" applyFont="1" applyFill="1" applyBorder="1" applyAlignment="1">
      <alignment vertical="center" wrapText="1"/>
    </xf>
    <xf numFmtId="14" fontId="4" fillId="0" borderId="29" xfId="4" applyNumberFormat="1" applyFont="1" applyFill="1" applyBorder="1" applyAlignment="1">
      <alignment vertical="center" wrapText="1"/>
    </xf>
    <xf numFmtId="3" fontId="4" fillId="0" borderId="30" xfId="4" applyNumberFormat="1" applyFont="1" applyFill="1" applyBorder="1" applyAlignment="1">
      <alignment vertical="center" wrapText="1"/>
    </xf>
    <xf numFmtId="170" fontId="4" fillId="0" borderId="19" xfId="2" applyNumberFormat="1" applyFont="1" applyFill="1" applyBorder="1" applyAlignment="1">
      <alignment horizontal="center" vertical="center" wrapText="1"/>
    </xf>
    <xf numFmtId="10" fontId="4" fillId="0" borderId="29" xfId="2" applyNumberFormat="1" applyFont="1" applyFill="1" applyBorder="1" applyAlignment="1">
      <alignment vertical="center" wrapText="1"/>
    </xf>
    <xf numFmtId="3" fontId="7" fillId="0" borderId="17" xfId="4" applyNumberFormat="1" applyFont="1" applyFill="1" applyBorder="1" applyAlignment="1">
      <alignment vertical="center" wrapText="1"/>
    </xf>
    <xf numFmtId="3" fontId="7" fillId="0" borderId="29" xfId="4" applyNumberFormat="1" applyFont="1" applyFill="1" applyBorder="1" applyAlignment="1">
      <alignment vertical="center" wrapText="1"/>
    </xf>
    <xf numFmtId="9" fontId="4" fillId="0" borderId="29" xfId="2" applyFont="1" applyFill="1" applyBorder="1" applyAlignment="1">
      <alignment vertical="center" wrapText="1"/>
    </xf>
    <xf numFmtId="10" fontId="4" fillId="23" borderId="30" xfId="2" applyNumberFormat="1" applyFont="1" applyFill="1" applyBorder="1" applyAlignment="1">
      <alignment horizontal="center" vertical="center" wrapText="1"/>
    </xf>
    <xf numFmtId="14" fontId="4" fillId="23" borderId="29" xfId="4" applyNumberFormat="1" applyFont="1" applyFill="1" applyBorder="1" applyAlignment="1">
      <alignment vertical="center" wrapText="1"/>
    </xf>
    <xf numFmtId="3" fontId="7" fillId="23" borderId="29" xfId="4" applyNumberFormat="1" applyFont="1" applyFill="1" applyBorder="1" applyAlignment="1">
      <alignment vertical="center" wrapText="1"/>
    </xf>
    <xf numFmtId="3" fontId="7" fillId="22" borderId="18" xfId="4" applyNumberFormat="1" applyFont="1" applyFill="1" applyBorder="1" applyAlignment="1">
      <alignment vertical="center" wrapText="1"/>
    </xf>
    <xf numFmtId="3" fontId="7" fillId="22" borderId="31" xfId="4" applyNumberFormat="1" applyFont="1" applyFill="1" applyBorder="1" applyAlignment="1">
      <alignment vertical="center" wrapText="1"/>
    </xf>
    <xf numFmtId="3" fontId="7" fillId="0" borderId="31" xfId="4" applyNumberFormat="1" applyFont="1" applyFill="1" applyBorder="1" applyAlignment="1">
      <alignment vertical="center" wrapText="1"/>
    </xf>
    <xf numFmtId="3" fontId="7" fillId="0" borderId="18" xfId="4" applyNumberFormat="1" applyFont="1" applyFill="1" applyBorder="1" applyAlignment="1">
      <alignment vertical="center" wrapText="1"/>
    </xf>
    <xf numFmtId="3" fontId="4" fillId="23" borderId="31" xfId="4" applyNumberFormat="1" applyFont="1" applyFill="1" applyBorder="1" applyAlignment="1">
      <alignment vertical="center" wrapText="1"/>
    </xf>
    <xf numFmtId="9" fontId="4" fillId="23" borderId="29" xfId="2" applyFont="1" applyFill="1" applyBorder="1" applyAlignment="1">
      <alignment horizontal="center" vertical="center" wrapText="1"/>
    </xf>
    <xf numFmtId="3" fontId="7" fillId="23" borderId="31" xfId="4" applyNumberFormat="1" applyFont="1" applyFill="1" applyBorder="1" applyAlignment="1">
      <alignment vertical="center" wrapText="1"/>
    </xf>
    <xf numFmtId="9" fontId="4" fillId="0" borderId="30" xfId="2" applyFont="1" applyFill="1" applyBorder="1" applyAlignment="1">
      <alignment horizontal="center" vertical="center" wrapText="1"/>
    </xf>
    <xf numFmtId="3" fontId="4" fillId="0" borderId="31" xfId="4" applyNumberFormat="1" applyFont="1" applyFill="1" applyBorder="1" applyAlignment="1">
      <alignment vertical="center" wrapText="1"/>
    </xf>
    <xf numFmtId="9" fontId="4" fillId="0" borderId="29" xfId="2" applyFont="1" applyFill="1" applyBorder="1" applyAlignment="1">
      <alignment horizontal="center" vertical="center" wrapText="1"/>
    </xf>
    <xf numFmtId="10" fontId="4" fillId="0" borderId="19" xfId="2" applyNumberFormat="1" applyFont="1" applyFill="1" applyBorder="1" applyAlignment="1">
      <alignment horizontal="center" vertical="center" wrapText="1"/>
    </xf>
    <xf numFmtId="3" fontId="7" fillId="0" borderId="27" xfId="4" applyNumberFormat="1" applyFont="1" applyFill="1" applyBorder="1" applyAlignment="1">
      <alignment vertical="center" wrapText="1"/>
    </xf>
    <xf numFmtId="0" fontId="4" fillId="23" borderId="31" xfId="4" applyFont="1" applyFill="1" applyBorder="1" applyAlignment="1">
      <alignment vertical="center" wrapText="1"/>
    </xf>
    <xf numFmtId="0" fontId="4" fillId="0" borderId="31" xfId="4" applyFont="1" applyFill="1" applyBorder="1" applyAlignment="1">
      <alignment vertical="center" wrapText="1"/>
    </xf>
    <xf numFmtId="10" fontId="7" fillId="6" borderId="12" xfId="2" applyNumberFormat="1" applyFont="1" applyFill="1" applyBorder="1" applyAlignment="1">
      <alignment vertical="center" wrapText="1"/>
    </xf>
    <xf numFmtId="0" fontId="4" fillId="0" borderId="29" xfId="4" applyFont="1" applyFill="1" applyBorder="1" applyAlignment="1">
      <alignment horizontal="center" vertical="center" wrapText="1"/>
    </xf>
    <xf numFmtId="3" fontId="4" fillId="0" borderId="27" xfId="4" applyNumberFormat="1" applyFont="1" applyFill="1" applyBorder="1" applyAlignment="1">
      <alignment vertical="center" wrapText="1"/>
    </xf>
    <xf numFmtId="0" fontId="7" fillId="0" borderId="31" xfId="4" applyFont="1" applyFill="1" applyBorder="1" applyAlignment="1">
      <alignment horizontal="center" vertical="center" wrapText="1"/>
    </xf>
    <xf numFmtId="0" fontId="4" fillId="0" borderId="32" xfId="4" applyFont="1" applyFill="1" applyBorder="1" applyAlignment="1">
      <alignment horizontal="center" vertical="center" wrapText="1"/>
    </xf>
    <xf numFmtId="9" fontId="4" fillId="0" borderId="31" xfId="2" applyFont="1" applyFill="1" applyBorder="1" applyAlignment="1">
      <alignment horizontal="center" vertical="center" wrapText="1"/>
    </xf>
    <xf numFmtId="0" fontId="7" fillId="8" borderId="15" xfId="4" applyFont="1" applyFill="1" applyBorder="1" applyAlignment="1">
      <alignment horizontal="center" vertical="center" wrapText="1"/>
    </xf>
    <xf numFmtId="1" fontId="4" fillId="23" borderId="17" xfId="4" applyNumberFormat="1" applyFont="1" applyFill="1" applyBorder="1" applyAlignment="1">
      <alignment horizontal="center" vertical="center" wrapText="1"/>
    </xf>
    <xf numFmtId="1" fontId="4" fillId="0" borderId="17" xfId="4" applyNumberFormat="1" applyFont="1" applyFill="1" applyBorder="1" applyAlignment="1">
      <alignment horizontal="center" vertical="center" wrapText="1"/>
    </xf>
    <xf numFmtId="0" fontId="23" fillId="0" borderId="62" xfId="0" applyFont="1" applyFill="1" applyBorder="1" applyAlignment="1">
      <alignment horizontal="center" vertical="center"/>
    </xf>
    <xf numFmtId="0" fontId="23" fillId="25" borderId="62" xfId="0" applyFont="1" applyFill="1" applyBorder="1" applyAlignment="1">
      <alignment horizontal="center" vertical="center"/>
    </xf>
    <xf numFmtId="0" fontId="23" fillId="29" borderId="62" xfId="0" applyFont="1" applyFill="1" applyBorder="1" applyAlignment="1">
      <alignment horizontal="center" vertical="center"/>
    </xf>
    <xf numFmtId="0" fontId="23" fillId="33" borderId="62" xfId="0" applyFont="1" applyFill="1" applyBorder="1" applyAlignment="1">
      <alignment horizontal="center" vertical="center"/>
    </xf>
    <xf numFmtId="1" fontId="4" fillId="23" borderId="30" xfId="4" applyNumberFormat="1" applyFont="1" applyFill="1" applyBorder="1" applyAlignment="1">
      <alignment horizontal="center" vertical="center" wrapText="1"/>
    </xf>
    <xf numFmtId="9" fontId="23" fillId="0" borderId="62" xfId="0" applyNumberFormat="1" applyFont="1" applyFill="1" applyBorder="1" applyAlignment="1">
      <alignment horizontal="center" vertical="center"/>
    </xf>
    <xf numFmtId="0" fontId="8" fillId="6" borderId="12" xfId="4" applyFont="1" applyFill="1" applyBorder="1" applyAlignment="1">
      <alignment horizontal="center" vertical="center" wrapText="1"/>
    </xf>
    <xf numFmtId="3" fontId="4" fillId="0" borderId="29" xfId="4" applyNumberFormat="1" applyFont="1" applyFill="1" applyBorder="1" applyAlignment="1">
      <alignment horizontal="center" vertical="center" wrapText="1"/>
    </xf>
    <xf numFmtId="3" fontId="4" fillId="23" borderId="31" xfId="4" applyNumberFormat="1" applyFont="1" applyFill="1" applyBorder="1" applyAlignment="1">
      <alignment horizontal="center" vertical="center" wrapText="1"/>
    </xf>
    <xf numFmtId="3" fontId="4" fillId="0" borderId="31" xfId="4" applyNumberFormat="1" applyFont="1" applyFill="1" applyBorder="1" applyAlignment="1">
      <alignment horizontal="center" vertical="center" wrapText="1"/>
    </xf>
    <xf numFmtId="0" fontId="4" fillId="23" borderId="31" xfId="4" applyFont="1" applyFill="1" applyBorder="1" applyAlignment="1">
      <alignment horizontal="center" vertical="center" wrapText="1"/>
    </xf>
    <xf numFmtId="0" fontId="4" fillId="0" borderId="31" xfId="4" applyFont="1" applyFill="1" applyBorder="1" applyAlignment="1">
      <alignment horizontal="center" vertical="center" wrapText="1"/>
    </xf>
    <xf numFmtId="3" fontId="4" fillId="0" borderId="30" xfId="4" applyNumberFormat="1" applyFont="1" applyFill="1" applyBorder="1" applyAlignment="1">
      <alignment horizontal="center" vertical="center" wrapText="1"/>
    </xf>
    <xf numFmtId="3" fontId="4" fillId="23" borderId="27" xfId="4" applyNumberFormat="1" applyFont="1" applyFill="1" applyBorder="1" applyAlignment="1">
      <alignment vertical="center" wrapText="1"/>
    </xf>
    <xf numFmtId="171" fontId="32" fillId="0" borderId="61" xfId="0" applyNumberFormat="1" applyFont="1" applyFill="1" applyBorder="1" applyAlignment="1">
      <alignment horizontal="right" vertical="center"/>
    </xf>
    <xf numFmtId="171" fontId="6" fillId="0" borderId="61" xfId="0" applyNumberFormat="1" applyFont="1" applyFill="1" applyBorder="1" applyAlignment="1">
      <alignment horizontal="right" vertical="center"/>
    </xf>
    <xf numFmtId="172" fontId="8" fillId="6" borderId="7" xfId="4" applyNumberFormat="1" applyFont="1" applyFill="1" applyBorder="1" applyAlignment="1">
      <alignment horizontal="center" vertical="center" wrapText="1"/>
    </xf>
    <xf numFmtId="10" fontId="8" fillId="6" borderId="12" xfId="2" applyNumberFormat="1" applyFont="1" applyFill="1" applyBorder="1" applyAlignment="1">
      <alignment horizontal="center" vertical="center" wrapText="1"/>
    </xf>
    <xf numFmtId="3" fontId="4" fillId="23" borderId="30" xfId="4" applyNumberFormat="1" applyFont="1" applyFill="1" applyBorder="1" applyAlignment="1">
      <alignment horizontal="center" vertical="center" wrapText="1"/>
    </xf>
    <xf numFmtId="3" fontId="4" fillId="23" borderId="35" xfId="4" applyNumberFormat="1" applyFont="1" applyFill="1" applyBorder="1" applyAlignment="1">
      <alignment horizontal="center" vertical="center" wrapText="1"/>
    </xf>
    <xf numFmtId="0" fontId="7" fillId="5" borderId="15" xfId="4" applyFont="1" applyFill="1" applyBorder="1" applyAlignment="1">
      <alignment horizontal="right" vertical="center" wrapText="1"/>
    </xf>
    <xf numFmtId="10" fontId="7" fillId="6" borderId="12" xfId="2" applyNumberFormat="1" applyFont="1" applyFill="1" applyBorder="1" applyAlignment="1">
      <alignment horizontal="right" vertical="center" wrapText="1"/>
    </xf>
    <xf numFmtId="0" fontId="4" fillId="0" borderId="0" xfId="4" applyFont="1" applyFill="1" applyAlignment="1">
      <alignment horizontal="right" vertical="center" wrapText="1"/>
    </xf>
    <xf numFmtId="166" fontId="7" fillId="0" borderId="60" xfId="3" applyNumberFormat="1" applyFont="1" applyFill="1" applyBorder="1" applyAlignment="1">
      <alignment vertical="center" wrapText="1"/>
    </xf>
    <xf numFmtId="10" fontId="4" fillId="23" borderId="30" xfId="2" applyNumberFormat="1" applyFont="1" applyFill="1" applyBorder="1" applyAlignment="1">
      <alignment horizontal="right" vertical="center" wrapText="1"/>
    </xf>
    <xf numFmtId="10" fontId="4" fillId="0" borderId="30" xfId="2" applyNumberFormat="1" applyFont="1" applyFill="1" applyBorder="1" applyAlignment="1">
      <alignment horizontal="right" vertical="center" wrapText="1"/>
    </xf>
    <xf numFmtId="3" fontId="7" fillId="22" borderId="32" xfId="4" applyNumberFormat="1" applyFont="1" applyFill="1" applyBorder="1" applyAlignment="1">
      <alignment horizontal="center" vertical="center" wrapText="1"/>
    </xf>
    <xf numFmtId="3" fontId="7" fillId="23" borderId="12" xfId="4" applyNumberFormat="1" applyFont="1" applyFill="1" applyBorder="1" applyAlignment="1">
      <alignment vertical="center" wrapText="1"/>
    </xf>
    <xf numFmtId="0" fontId="4" fillId="23" borderId="15" xfId="4" applyFont="1" applyFill="1" applyBorder="1" applyAlignment="1">
      <alignment vertical="center" wrapText="1"/>
    </xf>
    <xf numFmtId="0" fontId="4" fillId="23" borderId="7" xfId="4" applyFont="1" applyFill="1" applyBorder="1" applyAlignment="1">
      <alignment vertical="center" wrapText="1"/>
    </xf>
    <xf numFmtId="0" fontId="4" fillId="23" borderId="12" xfId="4" applyFont="1" applyFill="1" applyBorder="1" applyAlignment="1">
      <alignment vertical="center" wrapText="1"/>
    </xf>
    <xf numFmtId="0" fontId="7" fillId="10" borderId="8" xfId="4" applyFont="1" applyFill="1" applyBorder="1" applyAlignment="1">
      <alignment horizontal="center" vertical="center" wrapText="1"/>
    </xf>
    <xf numFmtId="0" fontId="7" fillId="22" borderId="31" xfId="4" applyFont="1" applyFill="1" applyBorder="1" applyAlignment="1">
      <alignment vertical="center" wrapText="1"/>
    </xf>
    <xf numFmtId="0" fontId="7" fillId="22" borderId="31" xfId="4" applyFont="1" applyFill="1" applyBorder="1" applyAlignment="1">
      <alignment horizontal="center" vertical="center" wrapText="1"/>
    </xf>
    <xf numFmtId="0" fontId="32" fillId="0" borderId="0" xfId="0" applyFont="1" applyAlignment="1">
      <alignment horizontal="center" vertical="center" wrapText="1"/>
    </xf>
    <xf numFmtId="0" fontId="7" fillId="10" borderId="7" xfId="4" applyFont="1" applyFill="1" applyBorder="1" applyAlignment="1">
      <alignment horizontal="center" vertical="center" wrapText="1"/>
    </xf>
    <xf numFmtId="0" fontId="39" fillId="41" borderId="67" xfId="0" applyFont="1" applyFill="1" applyBorder="1" applyAlignment="1">
      <alignment horizontal="center" vertical="center"/>
    </xf>
    <xf numFmtId="9" fontId="4" fillId="23" borderId="35" xfId="2" applyFont="1" applyFill="1" applyBorder="1" applyAlignment="1">
      <alignment horizontal="center" vertical="center" wrapText="1"/>
    </xf>
    <xf numFmtId="0" fontId="7" fillId="0" borderId="0" xfId="4" applyFont="1" applyFill="1" applyBorder="1" applyAlignment="1">
      <alignment horizontal="center" vertical="center" wrapText="1"/>
    </xf>
    <xf numFmtId="0" fontId="39" fillId="47" borderId="67" xfId="0" applyFont="1" applyFill="1" applyBorder="1" applyAlignment="1">
      <alignment horizontal="center" vertical="center"/>
    </xf>
    <xf numFmtId="9" fontId="39" fillId="47" borderId="67" xfId="0" applyNumberFormat="1" applyFont="1" applyFill="1" applyBorder="1" applyAlignment="1">
      <alignment horizontal="center" vertical="center"/>
    </xf>
    <xf numFmtId="9" fontId="4" fillId="0" borderId="17" xfId="2" applyFont="1" applyFill="1" applyBorder="1" applyAlignment="1">
      <alignment horizontal="center" vertical="center" wrapText="1"/>
    </xf>
    <xf numFmtId="9" fontId="39" fillId="49" borderId="67" xfId="0" applyNumberFormat="1" applyFont="1" applyFill="1" applyBorder="1" applyAlignment="1">
      <alignment horizontal="center" vertical="center"/>
    </xf>
    <xf numFmtId="0" fontId="39" fillId="49" borderId="0" xfId="0" applyFont="1" applyFill="1" applyAlignment="1">
      <alignment horizontal="center" vertical="center" wrapText="1"/>
    </xf>
    <xf numFmtId="0" fontId="39" fillId="50" borderId="67" xfId="0" applyFont="1" applyFill="1" applyBorder="1" applyAlignment="1">
      <alignment horizontal="center" vertical="center"/>
    </xf>
    <xf numFmtId="9" fontId="39" fillId="50" borderId="67" xfId="0" applyNumberFormat="1" applyFont="1" applyFill="1" applyBorder="1" applyAlignment="1">
      <alignment horizontal="center" vertical="center"/>
    </xf>
    <xf numFmtId="9" fontId="39" fillId="48" borderId="65" xfId="0" applyNumberFormat="1" applyFont="1" applyFill="1" applyBorder="1" applyAlignment="1">
      <alignment horizontal="center" vertical="center"/>
    </xf>
    <xf numFmtId="9" fontId="39" fillId="48" borderId="67" xfId="0" applyNumberFormat="1" applyFont="1" applyFill="1" applyBorder="1" applyAlignment="1">
      <alignment horizontal="center" vertical="center"/>
    </xf>
    <xf numFmtId="0" fontId="39" fillId="48" borderId="65" xfId="0" applyFont="1" applyFill="1" applyBorder="1" applyAlignment="1">
      <alignment horizontal="center" vertical="center"/>
    </xf>
    <xf numFmtId="0" fontId="39" fillId="48" borderId="67" xfId="0" applyFont="1" applyFill="1" applyBorder="1" applyAlignment="1">
      <alignment horizontal="center" vertical="center"/>
    </xf>
    <xf numFmtId="0" fontId="39" fillId="51" borderId="67" xfId="0" applyFont="1" applyFill="1" applyBorder="1" applyAlignment="1">
      <alignment horizontal="center" vertical="center"/>
    </xf>
    <xf numFmtId="9" fontId="39" fillId="51" borderId="67" xfId="0" applyNumberFormat="1" applyFont="1" applyFill="1" applyBorder="1" applyAlignment="1">
      <alignment horizontal="center" vertical="center"/>
    </xf>
    <xf numFmtId="0" fontId="39" fillId="52" borderId="65" xfId="0" applyFont="1" applyFill="1" applyBorder="1" applyAlignment="1">
      <alignment horizontal="center" vertical="center"/>
    </xf>
    <xf numFmtId="0" fontId="39" fillId="52" borderId="67" xfId="0" applyFont="1" applyFill="1" applyBorder="1" applyAlignment="1">
      <alignment horizontal="center" vertical="center"/>
    </xf>
    <xf numFmtId="9" fontId="23" fillId="33" borderId="62" xfId="2" applyFont="1" applyFill="1" applyBorder="1" applyAlignment="1">
      <alignment horizontal="center" vertical="center"/>
    </xf>
    <xf numFmtId="9" fontId="39" fillId="52" borderId="67" xfId="0" applyNumberFormat="1" applyFont="1" applyFill="1" applyBorder="1" applyAlignment="1">
      <alignment horizontal="center" vertical="center"/>
    </xf>
    <xf numFmtId="0" fontId="39" fillId="51" borderId="0" xfId="0" applyFont="1" applyFill="1" applyAlignment="1">
      <alignment horizontal="center" vertical="center" wrapText="1"/>
    </xf>
    <xf numFmtId="9" fontId="39" fillId="53" borderId="67" xfId="0" applyNumberFormat="1" applyFont="1" applyFill="1" applyBorder="1" applyAlignment="1">
      <alignment horizontal="center" vertical="center"/>
    </xf>
    <xf numFmtId="0" fontId="4" fillId="21" borderId="30" xfId="0" applyFont="1" applyFill="1" applyBorder="1" applyAlignment="1">
      <alignment vertical="center" wrapText="1"/>
    </xf>
    <xf numFmtId="0" fontId="39" fillId="34" borderId="72" xfId="0" applyFont="1" applyFill="1" applyBorder="1" applyAlignment="1">
      <alignment vertical="center" wrapText="1"/>
    </xf>
    <xf numFmtId="0" fontId="39" fillId="35" borderId="72" xfId="0" applyFont="1" applyFill="1" applyBorder="1" applyAlignment="1">
      <alignment vertical="center" wrapText="1"/>
    </xf>
    <xf numFmtId="0" fontId="39" fillId="36" borderId="72" xfId="0" applyFont="1" applyFill="1" applyBorder="1" applyAlignment="1">
      <alignment vertical="center" wrapText="1"/>
    </xf>
    <xf numFmtId="0" fontId="39" fillId="35" borderId="5" xfId="0" applyFont="1" applyFill="1" applyBorder="1" applyAlignment="1">
      <alignment vertical="center" wrapText="1"/>
    </xf>
    <xf numFmtId="0" fontId="39" fillId="34" borderId="5" xfId="0" applyFont="1" applyFill="1" applyBorder="1" applyAlignment="1">
      <alignment vertical="center" wrapText="1"/>
    </xf>
    <xf numFmtId="0" fontId="39" fillId="39" borderId="72" xfId="0" applyFont="1" applyFill="1" applyBorder="1" applyAlignment="1">
      <alignment vertical="center" wrapText="1"/>
    </xf>
    <xf numFmtId="0" fontId="39" fillId="40" borderId="72" xfId="0" applyFont="1" applyFill="1" applyBorder="1" applyAlignment="1">
      <alignment vertical="center" wrapText="1"/>
    </xf>
    <xf numFmtId="0" fontId="39" fillId="0" borderId="72" xfId="0" applyFont="1" applyFill="1" applyBorder="1" applyAlignment="1">
      <alignment vertical="center" wrapText="1"/>
    </xf>
    <xf numFmtId="0" fontId="39" fillId="41" borderId="72" xfId="0" applyFont="1" applyFill="1" applyBorder="1" applyAlignment="1">
      <alignment vertical="center" wrapText="1"/>
    </xf>
    <xf numFmtId="0" fontId="32" fillId="3" borderId="30" xfId="0" applyFont="1" applyFill="1" applyBorder="1" applyAlignment="1">
      <alignment vertical="center" wrapText="1"/>
    </xf>
    <xf numFmtId="0" fontId="4" fillId="21" borderId="35" xfId="0" applyFont="1" applyFill="1" applyBorder="1" applyAlignment="1">
      <alignment vertical="center" wrapText="1"/>
    </xf>
    <xf numFmtId="0" fontId="39" fillId="43" borderId="72" xfId="0" applyFont="1" applyFill="1" applyBorder="1" applyAlignment="1">
      <alignment vertical="center" wrapText="1"/>
    </xf>
    <xf numFmtId="0" fontId="39" fillId="44" borderId="72" xfId="0" applyFont="1" applyFill="1" applyBorder="1" applyAlignment="1">
      <alignment vertical="center" wrapText="1"/>
    </xf>
    <xf numFmtId="0" fontId="6" fillId="44" borderId="72" xfId="0" applyFont="1" applyFill="1" applyBorder="1" applyAlignment="1">
      <alignment vertical="center" wrapText="1"/>
    </xf>
    <xf numFmtId="0" fontId="6" fillId="44" borderId="62" xfId="0" applyFont="1" applyFill="1" applyBorder="1" applyAlignment="1">
      <alignment horizontal="left" vertical="center" wrapText="1"/>
    </xf>
    <xf numFmtId="0" fontId="39" fillId="46" borderId="72" xfId="0" applyFont="1" applyFill="1" applyBorder="1" applyAlignment="1">
      <alignment vertical="center" wrapText="1"/>
    </xf>
    <xf numFmtId="0" fontId="6" fillId="44" borderId="5" xfId="0" applyFont="1" applyFill="1" applyBorder="1" applyAlignment="1">
      <alignment horizontal="left" vertical="center" wrapText="1"/>
    </xf>
    <xf numFmtId="0" fontId="39" fillId="46" borderId="5" xfId="0" applyFont="1" applyFill="1" applyBorder="1" applyAlignment="1">
      <alignment horizontal="left" vertical="center" wrapText="1"/>
    </xf>
    <xf numFmtId="0" fontId="39" fillId="46" borderId="62" xfId="0" applyFont="1" applyFill="1" applyBorder="1" applyAlignment="1">
      <alignment horizontal="left" vertical="center" wrapText="1"/>
    </xf>
    <xf numFmtId="0" fontId="39" fillId="47" borderId="72" xfId="0" applyFont="1" applyFill="1" applyBorder="1" applyAlignment="1">
      <alignment vertical="center" wrapText="1"/>
    </xf>
    <xf numFmtId="0" fontId="39" fillId="47" borderId="5" xfId="0" applyFont="1" applyFill="1" applyBorder="1" applyAlignment="1">
      <alignment vertical="center" wrapText="1"/>
    </xf>
    <xf numFmtId="0" fontId="39" fillId="48" borderId="72" xfId="0" applyFont="1" applyFill="1" applyBorder="1" applyAlignment="1">
      <alignment vertical="center" wrapText="1"/>
    </xf>
    <xf numFmtId="0" fontId="39" fillId="49" borderId="72" xfId="0" applyFont="1" applyFill="1" applyBorder="1" applyAlignment="1">
      <alignment vertical="center" wrapText="1"/>
    </xf>
    <xf numFmtId="0" fontId="39" fillId="50" borderId="5" xfId="0" applyFont="1" applyFill="1" applyBorder="1" applyAlignment="1">
      <alignment vertical="center" wrapText="1"/>
    </xf>
    <xf numFmtId="0" fontId="39" fillId="50" borderId="72" xfId="0" applyFont="1" applyFill="1" applyBorder="1" applyAlignment="1">
      <alignment vertical="center" wrapText="1"/>
    </xf>
    <xf numFmtId="0" fontId="6" fillId="49" borderId="62" xfId="0" applyFont="1" applyFill="1" applyBorder="1" applyAlignment="1">
      <alignment horizontal="left" vertical="center" wrapText="1"/>
    </xf>
    <xf numFmtId="0" fontId="39" fillId="51" borderId="72" xfId="0" applyFont="1" applyFill="1" applyBorder="1" applyAlignment="1">
      <alignment vertical="center" wrapText="1"/>
    </xf>
    <xf numFmtId="0" fontId="39" fillId="52" borderId="72" xfId="0" applyFont="1" applyFill="1" applyBorder="1" applyAlignment="1">
      <alignment vertical="center" wrapText="1"/>
    </xf>
    <xf numFmtId="0" fontId="39" fillId="53" borderId="72" xfId="0" applyFont="1" applyFill="1" applyBorder="1" applyAlignment="1">
      <alignment vertical="center" wrapText="1"/>
    </xf>
    <xf numFmtId="0" fontId="39" fillId="51" borderId="5" xfId="0" applyFont="1" applyFill="1" applyBorder="1" applyAlignment="1">
      <alignment vertical="center" wrapText="1"/>
    </xf>
    <xf numFmtId="0" fontId="39" fillId="52" borderId="62" xfId="0" applyFont="1" applyFill="1" applyBorder="1" applyAlignment="1">
      <alignment vertical="center" wrapText="1"/>
    </xf>
    <xf numFmtId="170" fontId="4" fillId="0" borderId="17" xfId="2" applyNumberFormat="1" applyFont="1" applyFill="1" applyBorder="1" applyAlignment="1">
      <alignment horizontal="center" vertical="center" wrapText="1"/>
    </xf>
    <xf numFmtId="171" fontId="25" fillId="34" borderId="69" xfId="0" applyNumberFormat="1" applyFont="1" applyFill="1" applyBorder="1" applyAlignment="1">
      <alignment horizontal="right" vertical="center"/>
    </xf>
    <xf numFmtId="171" fontId="25" fillId="34" borderId="67" xfId="0" applyNumberFormat="1" applyFont="1" applyFill="1" applyBorder="1" applyAlignment="1">
      <alignment horizontal="right" vertical="center"/>
    </xf>
    <xf numFmtId="171" fontId="25" fillId="36" borderId="68" xfId="0" applyNumberFormat="1" applyFont="1" applyFill="1" applyBorder="1" applyAlignment="1">
      <alignment horizontal="right" vertical="center"/>
    </xf>
    <xf numFmtId="171" fontId="25" fillId="39" borderId="69" xfId="0" applyNumberFormat="1" applyFont="1" applyFill="1" applyBorder="1" applyAlignment="1">
      <alignment horizontal="right" vertical="center"/>
    </xf>
    <xf numFmtId="171" fontId="25" fillId="39" borderId="67" xfId="0" applyNumberFormat="1" applyFont="1" applyFill="1" applyBorder="1" applyAlignment="1">
      <alignment horizontal="right" vertical="center"/>
    </xf>
    <xf numFmtId="171" fontId="44" fillId="43" borderId="67" xfId="0" applyNumberFormat="1" applyFont="1" applyFill="1" applyBorder="1" applyAlignment="1">
      <alignment horizontal="right" vertical="center"/>
    </xf>
    <xf numFmtId="171" fontId="44" fillId="44" borderId="67" xfId="0" applyNumberFormat="1" applyFont="1" applyFill="1" applyBorder="1" applyAlignment="1">
      <alignment horizontal="right" vertical="center"/>
    </xf>
    <xf numFmtId="171" fontId="44" fillId="45" borderId="67" xfId="0" applyNumberFormat="1" applyFont="1" applyFill="1" applyBorder="1" applyAlignment="1">
      <alignment horizontal="right" vertical="center"/>
    </xf>
    <xf numFmtId="171" fontId="44" fillId="46" borderId="67" xfId="0" applyNumberFormat="1" applyFont="1" applyFill="1" applyBorder="1" applyAlignment="1">
      <alignment horizontal="right" vertical="center"/>
    </xf>
    <xf numFmtId="171" fontId="25" fillId="49" borderId="67" xfId="0" applyNumberFormat="1" applyFont="1" applyFill="1" applyBorder="1" applyAlignment="1">
      <alignment horizontal="right" vertical="center"/>
    </xf>
    <xf numFmtId="171" fontId="25" fillId="50" borderId="67" xfId="0" applyNumberFormat="1" applyFont="1" applyFill="1" applyBorder="1" applyAlignment="1">
      <alignment horizontal="right" vertical="center"/>
    </xf>
    <xf numFmtId="171" fontId="25" fillId="48" borderId="67" xfId="0" applyNumberFormat="1" applyFont="1" applyFill="1" applyBorder="1" applyAlignment="1">
      <alignment horizontal="right" vertical="center"/>
    </xf>
    <xf numFmtId="0" fontId="25" fillId="49" borderId="67" xfId="0" applyFont="1" applyFill="1" applyBorder="1" applyAlignment="1">
      <alignment horizontal="right" vertical="center"/>
    </xf>
    <xf numFmtId="171" fontId="25" fillId="51" borderId="67" xfId="0" applyNumberFormat="1" applyFont="1" applyFill="1" applyBorder="1" applyAlignment="1">
      <alignment horizontal="right" vertical="center"/>
    </xf>
    <xf numFmtId="171" fontId="25" fillId="52" borderId="67" xfId="0" applyNumberFormat="1" applyFont="1" applyFill="1" applyBorder="1" applyAlignment="1">
      <alignment horizontal="right" vertical="center"/>
    </xf>
    <xf numFmtId="171" fontId="25" fillId="53" borderId="67" xfId="0" applyNumberFormat="1" applyFont="1" applyFill="1" applyBorder="1" applyAlignment="1">
      <alignment horizontal="right" vertical="center"/>
    </xf>
    <xf numFmtId="172" fontId="25" fillId="34" borderId="69" xfId="0" applyNumberFormat="1" applyFont="1" applyFill="1" applyBorder="1" applyAlignment="1">
      <alignment horizontal="right" vertical="center"/>
    </xf>
    <xf numFmtId="0" fontId="4" fillId="0" borderId="30" xfId="2" applyNumberFormat="1" applyFont="1" applyFill="1" applyBorder="1" applyAlignment="1">
      <alignment horizontal="right" vertical="center" wrapText="1"/>
    </xf>
    <xf numFmtId="0" fontId="35" fillId="0" borderId="64" xfId="0" applyFont="1" applyBorder="1"/>
    <xf numFmtId="0" fontId="35" fillId="0" borderId="65" xfId="0" applyFont="1" applyBorder="1"/>
    <xf numFmtId="0" fontId="32" fillId="3" borderId="27" xfId="0" applyFont="1" applyFill="1" applyBorder="1" applyAlignment="1">
      <alignment horizontal="center" vertical="center" wrapText="1"/>
    </xf>
    <xf numFmtId="0" fontId="39" fillId="34" borderId="69" xfId="0" applyFont="1" applyFill="1" applyBorder="1" applyAlignment="1">
      <alignment horizontal="center" vertical="center"/>
    </xf>
    <xf numFmtId="0" fontId="23" fillId="33" borderId="71" xfId="0" applyFont="1" applyFill="1" applyBorder="1" applyAlignment="1">
      <alignment horizontal="center" vertical="center"/>
    </xf>
    <xf numFmtId="9" fontId="23" fillId="33" borderId="71" xfId="2" applyFont="1" applyFill="1" applyBorder="1" applyAlignment="1">
      <alignment horizontal="center" vertical="center"/>
    </xf>
    <xf numFmtId="1" fontId="4" fillId="0" borderId="30" xfId="4" applyNumberFormat="1" applyFont="1" applyFill="1" applyBorder="1" applyAlignment="1">
      <alignment horizontal="center" vertical="center" wrapText="1"/>
    </xf>
    <xf numFmtId="0" fontId="39" fillId="36" borderId="62" xfId="0" applyFont="1" applyFill="1" applyBorder="1" applyAlignment="1">
      <alignment horizontal="center" vertical="center"/>
    </xf>
    <xf numFmtId="0" fontId="39" fillId="34" borderId="62" xfId="0" applyFont="1" applyFill="1" applyBorder="1" applyAlignment="1">
      <alignment horizontal="center" vertical="center"/>
    </xf>
    <xf numFmtId="0" fontId="39" fillId="34" borderId="72" xfId="0" applyFont="1" applyFill="1" applyBorder="1" applyAlignment="1">
      <alignment horizontal="center" vertical="center"/>
    </xf>
    <xf numFmtId="0" fontId="39" fillId="39" borderId="62" xfId="0" applyFont="1" applyFill="1" applyBorder="1" applyAlignment="1">
      <alignment horizontal="center" vertical="center"/>
    </xf>
    <xf numFmtId="0" fontId="39" fillId="39" borderId="72" xfId="0" applyFont="1" applyFill="1" applyBorder="1" applyAlignment="1">
      <alignment horizontal="center" vertical="center"/>
    </xf>
    <xf numFmtId="0" fontId="39" fillId="39" borderId="5" xfId="0" applyFont="1" applyFill="1" applyBorder="1" applyAlignment="1">
      <alignment horizontal="center" vertical="center"/>
    </xf>
    <xf numFmtId="0" fontId="39" fillId="0" borderId="72" xfId="0" applyFont="1" applyFill="1" applyBorder="1" applyAlignment="1">
      <alignment horizontal="center" vertical="center"/>
    </xf>
    <xf numFmtId="0" fontId="39" fillId="41" borderId="72" xfId="0" applyFont="1" applyFill="1" applyBorder="1" applyAlignment="1">
      <alignment horizontal="center" vertical="center"/>
    </xf>
    <xf numFmtId="0" fontId="39" fillId="43" borderId="72" xfId="0" applyFont="1" applyFill="1" applyBorder="1" applyAlignment="1">
      <alignment horizontal="center" vertical="center"/>
    </xf>
    <xf numFmtId="0" fontId="32" fillId="3" borderId="35" xfId="0" applyFont="1" applyFill="1" applyBorder="1" applyAlignment="1">
      <alignment horizontal="center" vertical="center" wrapText="1"/>
    </xf>
    <xf numFmtId="0" fontId="39" fillId="44" borderId="72" xfId="0" applyFont="1" applyFill="1" applyBorder="1" applyAlignment="1">
      <alignment horizontal="center" vertical="center"/>
    </xf>
    <xf numFmtId="0" fontId="39" fillId="46" borderId="72" xfId="0" applyFont="1" applyFill="1" applyBorder="1" applyAlignment="1">
      <alignment horizontal="center" vertical="center"/>
    </xf>
    <xf numFmtId="0" fontId="39" fillId="47" borderId="72" xfId="0" applyFont="1" applyFill="1" applyBorder="1" applyAlignment="1">
      <alignment horizontal="center" vertical="center"/>
    </xf>
    <xf numFmtId="9" fontId="39" fillId="47" borderId="72" xfId="0" applyNumberFormat="1" applyFont="1" applyFill="1" applyBorder="1" applyAlignment="1">
      <alignment horizontal="center" vertical="center"/>
    </xf>
    <xf numFmtId="0" fontId="39" fillId="49" borderId="72" xfId="0" applyFont="1" applyFill="1" applyBorder="1" applyAlignment="1">
      <alignment horizontal="center" vertical="center"/>
    </xf>
    <xf numFmtId="9" fontId="39" fillId="49" borderId="72" xfId="0" applyNumberFormat="1" applyFont="1" applyFill="1" applyBorder="1" applyAlignment="1">
      <alignment horizontal="center" vertical="center"/>
    </xf>
    <xf numFmtId="0" fontId="39" fillId="50" borderId="72" xfId="0" applyFont="1" applyFill="1" applyBorder="1" applyAlignment="1">
      <alignment horizontal="center" vertical="center"/>
    </xf>
    <xf numFmtId="9" fontId="39" fillId="50" borderId="72" xfId="0" applyNumberFormat="1" applyFont="1" applyFill="1" applyBorder="1" applyAlignment="1">
      <alignment horizontal="center" vertical="center"/>
    </xf>
    <xf numFmtId="9" fontId="39" fillId="48" borderId="72" xfId="0" applyNumberFormat="1" applyFont="1" applyFill="1" applyBorder="1" applyAlignment="1">
      <alignment horizontal="center" vertical="center"/>
    </xf>
    <xf numFmtId="0" fontId="39" fillId="48" borderId="72" xfId="0" applyFont="1" applyFill="1" applyBorder="1" applyAlignment="1">
      <alignment horizontal="center" vertical="center"/>
    </xf>
    <xf numFmtId="0" fontId="39" fillId="51" borderId="72" xfId="0" applyFont="1" applyFill="1" applyBorder="1" applyAlignment="1">
      <alignment horizontal="center" vertical="center"/>
    </xf>
    <xf numFmtId="9" fontId="39" fillId="51" borderId="72" xfId="0" applyNumberFormat="1" applyFont="1" applyFill="1" applyBorder="1" applyAlignment="1">
      <alignment horizontal="center" vertical="center"/>
    </xf>
    <xf numFmtId="0" fontId="39" fillId="52" borderId="72" xfId="0" applyFont="1" applyFill="1" applyBorder="1" applyAlignment="1">
      <alignment horizontal="center" vertical="center"/>
    </xf>
    <xf numFmtId="9" fontId="39" fillId="52" borderId="72" xfId="0" applyNumberFormat="1" applyFont="1" applyFill="1" applyBorder="1" applyAlignment="1">
      <alignment horizontal="center" vertical="center"/>
    </xf>
    <xf numFmtId="9" fontId="39" fillId="53" borderId="72" xfId="0" applyNumberFormat="1" applyFont="1" applyFill="1" applyBorder="1" applyAlignment="1">
      <alignment horizontal="center" vertical="center"/>
    </xf>
    <xf numFmtId="0" fontId="23" fillId="0" borderId="63" xfId="0" applyFont="1" applyFill="1" applyBorder="1" applyAlignment="1">
      <alignment horizontal="center" vertical="center" wrapText="1"/>
    </xf>
    <xf numFmtId="0" fontId="39" fillId="34" borderId="66" xfId="0" applyFont="1" applyFill="1" applyBorder="1" applyAlignment="1">
      <alignment horizontal="center" vertical="center" wrapText="1"/>
    </xf>
    <xf numFmtId="0" fontId="39" fillId="35" borderId="66" xfId="0" applyFont="1" applyFill="1" applyBorder="1" applyAlignment="1">
      <alignment horizontal="center" vertical="center" wrapText="1"/>
    </xf>
    <xf numFmtId="0" fontId="23" fillId="3" borderId="63" xfId="0" applyFont="1" applyFill="1" applyBorder="1" applyAlignment="1">
      <alignment horizontal="center" vertical="center" wrapText="1"/>
    </xf>
    <xf numFmtId="0" fontId="6" fillId="36" borderId="66" xfId="0" applyFont="1" applyFill="1" applyBorder="1" applyAlignment="1">
      <alignment horizontal="center" vertical="center" wrapText="1"/>
    </xf>
    <xf numFmtId="0" fontId="39" fillId="37" borderId="66" xfId="0" applyFont="1" applyFill="1" applyBorder="1" applyAlignment="1">
      <alignment horizontal="center" vertical="center" wrapText="1"/>
    </xf>
    <xf numFmtId="0" fontId="32" fillId="37" borderId="63" xfId="0" applyFont="1" applyFill="1" applyBorder="1" applyAlignment="1">
      <alignment horizontal="center" vertical="center" wrapText="1"/>
    </xf>
    <xf numFmtId="0" fontId="39" fillId="37" borderId="6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6" fillId="39" borderId="63" xfId="0" applyFont="1" applyFill="1" applyBorder="1" applyAlignment="1">
      <alignment horizontal="center" vertical="center" wrapText="1"/>
    </xf>
    <xf numFmtId="0" fontId="39" fillId="39" borderId="66" xfId="0" applyFont="1" applyFill="1" applyBorder="1" applyAlignment="1">
      <alignment horizontal="center" vertical="center" wrapText="1"/>
    </xf>
    <xf numFmtId="0" fontId="39" fillId="37" borderId="0" xfId="0" applyFont="1" applyFill="1" applyBorder="1" applyAlignment="1">
      <alignment horizontal="center" vertical="center" wrapText="1"/>
    </xf>
    <xf numFmtId="0" fontId="39" fillId="40" borderId="66" xfId="0" applyFont="1" applyFill="1" applyBorder="1" applyAlignment="1">
      <alignment horizontal="center" vertical="center" wrapText="1"/>
    </xf>
    <xf numFmtId="0" fontId="32" fillId="40" borderId="66" xfId="0" applyFont="1" applyFill="1" applyBorder="1" applyAlignment="1">
      <alignment horizontal="center" vertical="center" wrapText="1"/>
    </xf>
    <xf numFmtId="0" fontId="23" fillId="25" borderId="0" xfId="0" applyFont="1" applyFill="1" applyBorder="1" applyAlignment="1">
      <alignment horizontal="center" vertical="center" wrapText="1"/>
    </xf>
    <xf numFmtId="0" fontId="23" fillId="25" borderId="63" xfId="0" applyFont="1" applyFill="1" applyBorder="1" applyAlignment="1">
      <alignment horizontal="center" vertical="center" wrapText="1"/>
    </xf>
    <xf numFmtId="0" fontId="23" fillId="26" borderId="0" xfId="0" applyFont="1" applyFill="1" applyBorder="1" applyAlignment="1">
      <alignment horizontal="center" vertical="center" wrapText="1"/>
    </xf>
    <xf numFmtId="0" fontId="23" fillId="27"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73" xfId="0" applyFont="1" applyFill="1" applyBorder="1" applyAlignment="1">
      <alignment horizontal="center" vertical="center" wrapText="1"/>
    </xf>
    <xf numFmtId="3" fontId="4" fillId="23" borderId="19" xfId="4" applyNumberFormat="1" applyFont="1" applyFill="1" applyBorder="1" applyAlignment="1">
      <alignment vertical="center" wrapText="1"/>
    </xf>
    <xf numFmtId="0" fontId="23" fillId="28" borderId="0" xfId="0" applyFont="1" applyFill="1" applyBorder="1" applyAlignment="1">
      <alignment horizontal="center" vertical="center" wrapText="1"/>
    </xf>
    <xf numFmtId="0" fontId="23" fillId="29" borderId="17" xfId="0" applyFont="1" applyFill="1" applyBorder="1" applyAlignment="1">
      <alignment horizontal="center" vertical="center" wrapText="1"/>
    </xf>
    <xf numFmtId="0" fontId="23" fillId="29" borderId="0" xfId="0" applyFont="1" applyFill="1" applyBorder="1" applyAlignment="1">
      <alignment horizontal="center" vertical="center" wrapText="1"/>
    </xf>
    <xf numFmtId="0" fontId="23" fillId="30" borderId="17" xfId="0" applyFont="1" applyFill="1" applyBorder="1" applyAlignment="1">
      <alignment horizontal="center" vertical="center" wrapText="1"/>
    </xf>
    <xf numFmtId="0" fontId="23" fillId="30" borderId="0" xfId="0" applyFont="1" applyFill="1" applyBorder="1" applyAlignment="1">
      <alignment horizontal="center" vertical="center" wrapText="1"/>
    </xf>
    <xf numFmtId="0" fontId="23" fillId="31" borderId="0" xfId="0" applyFont="1" applyFill="1" applyBorder="1" applyAlignment="1">
      <alignment horizontal="center" vertical="center" wrapText="1"/>
    </xf>
    <xf numFmtId="0" fontId="39" fillId="49" borderId="63" xfId="0" applyFont="1" applyFill="1" applyBorder="1" applyAlignment="1">
      <alignment horizontal="center" vertical="center" wrapText="1"/>
    </xf>
    <xf numFmtId="0" fontId="23" fillId="31" borderId="17" xfId="0" applyFont="1" applyFill="1" applyBorder="1" applyAlignment="1">
      <alignment horizontal="center" vertical="center" wrapText="1"/>
    </xf>
    <xf numFmtId="0" fontId="39" fillId="48" borderId="66" xfId="0" applyFont="1" applyFill="1" applyBorder="1" applyAlignment="1">
      <alignment horizontal="center" vertical="center" wrapText="1"/>
    </xf>
    <xf numFmtId="0" fontId="6" fillId="49" borderId="0" xfId="0" applyFont="1" applyFill="1" applyBorder="1" applyAlignment="1">
      <alignment horizontal="center" vertical="center" wrapText="1"/>
    </xf>
    <xf numFmtId="0" fontId="39" fillId="49" borderId="66" xfId="0" applyFont="1" applyFill="1" applyBorder="1" applyAlignment="1">
      <alignment horizontal="center" vertical="center" wrapText="1"/>
    </xf>
    <xf numFmtId="0" fontId="6" fillId="50" borderId="66" xfId="0" applyFont="1" applyFill="1" applyBorder="1" applyAlignment="1">
      <alignment horizontal="center" vertical="center" wrapText="1"/>
    </xf>
    <xf numFmtId="0" fontId="6" fillId="50" borderId="63" xfId="0" applyFont="1" applyFill="1" applyBorder="1" applyAlignment="1">
      <alignment horizontal="center" vertical="center" wrapText="1"/>
    </xf>
    <xf numFmtId="0" fontId="6" fillId="48" borderId="66" xfId="0" applyFont="1" applyFill="1" applyBorder="1" applyAlignment="1">
      <alignment horizontal="center" vertical="center" wrapText="1"/>
    </xf>
    <xf numFmtId="0" fontId="39" fillId="51" borderId="66" xfId="0" applyFont="1" applyFill="1" applyBorder="1" applyAlignment="1">
      <alignment horizontal="center" vertical="center" wrapText="1"/>
    </xf>
    <xf numFmtId="0" fontId="39" fillId="52" borderId="66" xfId="0" applyFont="1" applyFill="1" applyBorder="1" applyAlignment="1">
      <alignment horizontal="center" vertical="center" wrapText="1"/>
    </xf>
    <xf numFmtId="0" fontId="39" fillId="53" borderId="66" xfId="0" applyFont="1" applyFill="1" applyBorder="1" applyAlignment="1">
      <alignment horizontal="center" vertical="center" wrapText="1"/>
    </xf>
    <xf numFmtId="0" fontId="39" fillId="52" borderId="63" xfId="0" applyFont="1" applyFill="1" applyBorder="1" applyAlignment="1">
      <alignment horizontal="center" vertical="center" wrapText="1"/>
    </xf>
    <xf numFmtId="0" fontId="6" fillId="53" borderId="66" xfId="0" applyFont="1" applyFill="1" applyBorder="1" applyAlignment="1">
      <alignment horizontal="center" vertical="center" wrapText="1"/>
    </xf>
    <xf numFmtId="9" fontId="39" fillId="34" borderId="74" xfId="0" applyNumberFormat="1" applyFont="1" applyFill="1" applyBorder="1" applyAlignment="1">
      <alignment horizontal="center" vertical="center"/>
    </xf>
    <xf numFmtId="0" fontId="39" fillId="36" borderId="74" xfId="0" applyFont="1" applyFill="1" applyBorder="1" applyAlignment="1">
      <alignment horizontal="center" vertical="center"/>
    </xf>
    <xf numFmtId="0" fontId="23" fillId="0" borderId="74" xfId="0" applyFont="1" applyFill="1" applyBorder="1" applyAlignment="1">
      <alignment horizontal="center" vertical="center"/>
    </xf>
    <xf numFmtId="0" fontId="39" fillId="34" borderId="74" xfId="0" applyFont="1" applyFill="1" applyBorder="1" applyAlignment="1">
      <alignment horizontal="center" vertical="center"/>
    </xf>
    <xf numFmtId="0" fontId="39" fillId="38" borderId="74" xfId="0" applyFont="1" applyFill="1" applyBorder="1" applyAlignment="1">
      <alignment horizontal="center" vertical="center"/>
    </xf>
    <xf numFmtId="0" fontId="39" fillId="39" borderId="75" xfId="0" applyFont="1" applyFill="1" applyBorder="1" applyAlignment="1">
      <alignment horizontal="center" vertical="center"/>
    </xf>
    <xf numFmtId="0" fontId="39" fillId="39" borderId="9" xfId="0" applyFont="1" applyFill="1" applyBorder="1" applyAlignment="1">
      <alignment horizontal="center" vertical="center"/>
    </xf>
    <xf numFmtId="0" fontId="39" fillId="0" borderId="75" xfId="0" applyFont="1" applyFill="1" applyBorder="1" applyAlignment="1">
      <alignment horizontal="center" vertical="center"/>
    </xf>
    <xf numFmtId="0" fontId="39" fillId="41" borderId="75" xfId="0" applyFont="1" applyFill="1" applyBorder="1" applyAlignment="1">
      <alignment horizontal="center" vertical="center"/>
    </xf>
    <xf numFmtId="0" fontId="39" fillId="43" borderId="75" xfId="0" applyFont="1" applyFill="1" applyBorder="1" applyAlignment="1">
      <alignment horizontal="center" vertical="center"/>
    </xf>
    <xf numFmtId="0" fontId="23" fillId="25" borderId="74" xfId="0" applyFont="1" applyFill="1" applyBorder="1" applyAlignment="1">
      <alignment horizontal="center" vertical="center"/>
    </xf>
    <xf numFmtId="0" fontId="39" fillId="44" borderId="75" xfId="0" applyFont="1" applyFill="1" applyBorder="1" applyAlignment="1">
      <alignment horizontal="center" vertical="center"/>
    </xf>
    <xf numFmtId="0" fontId="39" fillId="46" borderId="75" xfId="0" applyFont="1" applyFill="1" applyBorder="1" applyAlignment="1">
      <alignment horizontal="center" vertical="center"/>
    </xf>
    <xf numFmtId="0" fontId="23" fillId="30" borderId="74" xfId="0" applyFont="1" applyFill="1" applyBorder="1" applyAlignment="1">
      <alignment horizontal="center" vertical="center"/>
    </xf>
    <xf numFmtId="0" fontId="39" fillId="47" borderId="75" xfId="0" applyFont="1" applyFill="1" applyBorder="1" applyAlignment="1">
      <alignment horizontal="center" vertical="center"/>
    </xf>
    <xf numFmtId="9" fontId="39" fillId="47" borderId="75" xfId="0" applyNumberFormat="1" applyFont="1" applyFill="1" applyBorder="1" applyAlignment="1">
      <alignment horizontal="center" vertical="center"/>
    </xf>
    <xf numFmtId="0" fontId="39" fillId="49" borderId="75" xfId="0" applyFont="1" applyFill="1" applyBorder="1" applyAlignment="1">
      <alignment horizontal="center" vertical="center"/>
    </xf>
    <xf numFmtId="9" fontId="39" fillId="49" borderId="75" xfId="0" applyNumberFormat="1" applyFont="1" applyFill="1" applyBorder="1" applyAlignment="1">
      <alignment horizontal="center" vertical="center"/>
    </xf>
    <xf numFmtId="0" fontId="39" fillId="50" borderId="75" xfId="0" applyFont="1" applyFill="1" applyBorder="1" applyAlignment="1">
      <alignment horizontal="center" vertical="center"/>
    </xf>
    <xf numFmtId="9" fontId="39" fillId="50" borderId="75" xfId="0" applyNumberFormat="1" applyFont="1" applyFill="1" applyBorder="1" applyAlignment="1">
      <alignment horizontal="center" vertical="center"/>
    </xf>
    <xf numFmtId="9" fontId="39" fillId="48" borderId="75" xfId="0" applyNumberFormat="1" applyFont="1" applyFill="1" applyBorder="1" applyAlignment="1">
      <alignment horizontal="center" vertical="center"/>
    </xf>
    <xf numFmtId="0" fontId="39" fillId="48" borderId="75" xfId="0" applyFont="1" applyFill="1" applyBorder="1" applyAlignment="1">
      <alignment horizontal="center" vertical="center"/>
    </xf>
    <xf numFmtId="0" fontId="39" fillId="51" borderId="75" xfId="0" applyFont="1" applyFill="1" applyBorder="1" applyAlignment="1">
      <alignment horizontal="center" vertical="center"/>
    </xf>
    <xf numFmtId="9" fontId="39" fillId="51" borderId="75" xfId="0" applyNumberFormat="1" applyFont="1" applyFill="1" applyBorder="1" applyAlignment="1">
      <alignment horizontal="center" vertical="center"/>
    </xf>
    <xf numFmtId="0" fontId="39" fillId="52" borderId="75" xfId="0" applyFont="1" applyFill="1" applyBorder="1" applyAlignment="1">
      <alignment horizontal="center" vertical="center"/>
    </xf>
    <xf numFmtId="0" fontId="23" fillId="33" borderId="74" xfId="0" applyFont="1" applyFill="1" applyBorder="1" applyAlignment="1">
      <alignment horizontal="center" vertical="center"/>
    </xf>
    <xf numFmtId="9" fontId="39" fillId="52" borderId="75" xfId="0" applyNumberFormat="1" applyFont="1" applyFill="1" applyBorder="1" applyAlignment="1">
      <alignment horizontal="center" vertical="center"/>
    </xf>
    <xf numFmtId="9" fontId="39" fillId="53" borderId="75" xfId="0" applyNumberFormat="1" applyFont="1" applyFill="1" applyBorder="1" applyAlignment="1">
      <alignment horizontal="center" vertical="center"/>
    </xf>
    <xf numFmtId="9" fontId="4" fillId="0" borderId="59" xfId="2" applyNumberFormat="1" applyFont="1" applyFill="1" applyBorder="1" applyAlignment="1">
      <alignment horizontal="center" vertical="center" wrapText="1"/>
    </xf>
    <xf numFmtId="9" fontId="32" fillId="3" borderId="58" xfId="0" applyNumberFormat="1" applyFont="1" applyFill="1" applyBorder="1" applyAlignment="1">
      <alignment horizontal="center" vertical="center" wrapText="1"/>
    </xf>
    <xf numFmtId="9" fontId="4" fillId="23" borderId="59" xfId="2" applyFont="1" applyFill="1" applyBorder="1" applyAlignment="1">
      <alignment horizontal="center" vertical="center" wrapText="1"/>
    </xf>
    <xf numFmtId="9" fontId="4" fillId="0" borderId="59" xfId="2" applyFont="1" applyFill="1" applyBorder="1" applyAlignment="1">
      <alignment horizontal="center" vertical="center" wrapText="1"/>
    </xf>
    <xf numFmtId="9" fontId="32" fillId="3" borderId="59" xfId="0" applyNumberFormat="1" applyFont="1" applyFill="1" applyBorder="1" applyAlignment="1">
      <alignment horizontal="center" vertical="center" wrapText="1"/>
    </xf>
    <xf numFmtId="9" fontId="23" fillId="0" borderId="71" xfId="0" applyNumberFormat="1" applyFont="1" applyFill="1" applyBorder="1" applyAlignment="1">
      <alignment horizontal="center" vertical="center"/>
    </xf>
    <xf numFmtId="9" fontId="4" fillId="0" borderId="60" xfId="2" applyFont="1" applyFill="1" applyBorder="1" applyAlignment="1">
      <alignment horizontal="center" vertical="center" wrapText="1"/>
    </xf>
    <xf numFmtId="9" fontId="32" fillId="3" borderId="35" xfId="0" applyNumberFormat="1" applyFont="1" applyFill="1" applyBorder="1" applyAlignment="1">
      <alignment horizontal="center" vertical="center" wrapText="1"/>
    </xf>
    <xf numFmtId="9" fontId="39" fillId="36" borderId="72" xfId="0" applyNumberFormat="1" applyFont="1" applyFill="1" applyBorder="1" applyAlignment="1">
      <alignment horizontal="center" vertical="center" wrapText="1"/>
    </xf>
    <xf numFmtId="9" fontId="39" fillId="35" borderId="72" xfId="0" applyNumberFormat="1" applyFont="1" applyFill="1" applyBorder="1" applyAlignment="1">
      <alignment horizontal="center" vertical="center" wrapText="1"/>
    </xf>
    <xf numFmtId="9" fontId="39" fillId="35" borderId="5" xfId="0" applyNumberFormat="1" applyFont="1" applyFill="1" applyBorder="1" applyAlignment="1">
      <alignment horizontal="center" vertical="center" wrapText="1"/>
    </xf>
    <xf numFmtId="9" fontId="39" fillId="35" borderId="76" xfId="0" applyNumberFormat="1" applyFont="1" applyFill="1" applyBorder="1" applyAlignment="1">
      <alignment horizontal="center" vertical="center" wrapText="1"/>
    </xf>
    <xf numFmtId="9" fontId="32" fillId="3" borderId="30" xfId="0" applyNumberFormat="1" applyFont="1" applyFill="1" applyBorder="1" applyAlignment="1">
      <alignment horizontal="center" vertical="center" wrapText="1"/>
    </xf>
    <xf numFmtId="9" fontId="39" fillId="39" borderId="62" xfId="0" applyNumberFormat="1" applyFont="1" applyFill="1" applyBorder="1" applyAlignment="1">
      <alignment horizontal="center" vertical="center" wrapText="1"/>
    </xf>
    <xf numFmtId="9" fontId="39" fillId="39" borderId="72" xfId="0" applyNumberFormat="1" applyFont="1" applyFill="1" applyBorder="1" applyAlignment="1">
      <alignment horizontal="center" vertical="center" wrapText="1"/>
    </xf>
    <xf numFmtId="9" fontId="39" fillId="39" borderId="5" xfId="0" applyNumberFormat="1" applyFont="1" applyFill="1" applyBorder="1" applyAlignment="1">
      <alignment horizontal="center" vertical="center" wrapText="1"/>
    </xf>
    <xf numFmtId="9" fontId="39" fillId="40" borderId="72" xfId="0" applyNumberFormat="1" applyFont="1" applyFill="1" applyBorder="1" applyAlignment="1">
      <alignment horizontal="center" vertical="center" wrapText="1"/>
    </xf>
    <xf numFmtId="9" fontId="39" fillId="43" borderId="72" xfId="0" applyNumberFormat="1" applyFont="1" applyFill="1" applyBorder="1" applyAlignment="1">
      <alignment horizontal="center" vertical="center" wrapText="1"/>
    </xf>
    <xf numFmtId="9" fontId="39" fillId="44" borderId="72" xfId="0" applyNumberFormat="1" applyFont="1" applyFill="1" applyBorder="1" applyAlignment="1">
      <alignment horizontal="center" vertical="center" wrapText="1"/>
    </xf>
    <xf numFmtId="9" fontId="39" fillId="44" borderId="62" xfId="0" applyNumberFormat="1" applyFont="1" applyFill="1" applyBorder="1" applyAlignment="1">
      <alignment horizontal="center" vertical="center" wrapText="1"/>
    </xf>
    <xf numFmtId="9" fontId="39" fillId="46" borderId="62" xfId="0" applyNumberFormat="1" applyFont="1" applyFill="1" applyBorder="1" applyAlignment="1">
      <alignment horizontal="center" vertical="center" wrapText="1"/>
    </xf>
    <xf numFmtId="9" fontId="39" fillId="46" borderId="72" xfId="0" applyNumberFormat="1" applyFont="1" applyFill="1" applyBorder="1" applyAlignment="1">
      <alignment horizontal="center" vertical="center" wrapText="1"/>
    </xf>
    <xf numFmtId="9" fontId="39" fillId="49" borderId="72" xfId="0" applyNumberFormat="1" applyFont="1" applyFill="1" applyBorder="1" applyAlignment="1">
      <alignment horizontal="center" vertical="center" wrapText="1"/>
    </xf>
    <xf numFmtId="9" fontId="39" fillId="49" borderId="5" xfId="0" applyNumberFormat="1" applyFont="1" applyFill="1" applyBorder="1" applyAlignment="1">
      <alignment horizontal="center" vertical="center" wrapText="1"/>
    </xf>
    <xf numFmtId="9" fontId="39" fillId="49" borderId="76" xfId="0" applyNumberFormat="1" applyFont="1" applyFill="1" applyBorder="1" applyAlignment="1">
      <alignment horizontal="center" vertical="center" wrapText="1"/>
    </xf>
    <xf numFmtId="9" fontId="39" fillId="49" borderId="62" xfId="0" applyNumberFormat="1" applyFont="1" applyFill="1" applyBorder="1" applyAlignment="1">
      <alignment horizontal="center" vertical="center" wrapText="1"/>
    </xf>
    <xf numFmtId="9" fontId="39" fillId="50" borderId="5" xfId="0" applyNumberFormat="1" applyFont="1" applyFill="1" applyBorder="1" applyAlignment="1">
      <alignment horizontal="center" vertical="center" wrapText="1"/>
    </xf>
    <xf numFmtId="9" fontId="39" fillId="50" borderId="76" xfId="0" applyNumberFormat="1" applyFont="1" applyFill="1" applyBorder="1" applyAlignment="1">
      <alignment horizontal="center" vertical="center" wrapText="1"/>
    </xf>
    <xf numFmtId="9" fontId="39" fillId="50" borderId="62" xfId="0" applyNumberFormat="1" applyFont="1" applyFill="1" applyBorder="1" applyAlignment="1">
      <alignment horizontal="center" vertical="center" wrapText="1"/>
    </xf>
    <xf numFmtId="9" fontId="39" fillId="50" borderId="72" xfId="0" applyNumberFormat="1" applyFont="1" applyFill="1" applyBorder="1" applyAlignment="1">
      <alignment horizontal="center" vertical="center" wrapText="1"/>
    </xf>
    <xf numFmtId="9" fontId="39" fillId="48" borderId="72" xfId="0" applyNumberFormat="1" applyFont="1" applyFill="1" applyBorder="1" applyAlignment="1">
      <alignment horizontal="center" vertical="center" wrapText="1"/>
    </xf>
    <xf numFmtId="9" fontId="39" fillId="51" borderId="72" xfId="0" applyNumberFormat="1" applyFont="1" applyFill="1" applyBorder="1" applyAlignment="1">
      <alignment horizontal="center" vertical="center" wrapText="1"/>
    </xf>
    <xf numFmtId="9" fontId="39" fillId="52" borderId="72" xfId="0" applyNumberFormat="1" applyFont="1" applyFill="1" applyBorder="1" applyAlignment="1">
      <alignment horizontal="center" vertical="center" wrapText="1"/>
    </xf>
    <xf numFmtId="9" fontId="39" fillId="51" borderId="5" xfId="0" applyNumberFormat="1" applyFont="1" applyFill="1" applyBorder="1" applyAlignment="1">
      <alignment horizontal="center" vertical="center" wrapText="1"/>
    </xf>
    <xf numFmtId="9" fontId="39" fillId="52" borderId="62" xfId="0" applyNumberFormat="1" applyFont="1" applyFill="1" applyBorder="1" applyAlignment="1">
      <alignment horizontal="center" vertical="center" wrapText="1"/>
    </xf>
    <xf numFmtId="9" fontId="39" fillId="53" borderId="72" xfId="0" applyNumberFormat="1" applyFont="1" applyFill="1" applyBorder="1" applyAlignment="1">
      <alignment horizontal="center" vertical="center" wrapText="1"/>
    </xf>
    <xf numFmtId="171" fontId="25" fillId="54" borderId="77" xfId="0" applyNumberFormat="1" applyFont="1" applyFill="1" applyBorder="1" applyAlignment="1">
      <alignment vertical="center"/>
    </xf>
    <xf numFmtId="0" fontId="44" fillId="44" borderId="69" xfId="0" applyFont="1" applyFill="1" applyBorder="1" applyAlignment="1">
      <alignment horizontal="right" vertical="center"/>
    </xf>
    <xf numFmtId="171" fontId="44" fillId="46" borderId="69" xfId="0" applyNumberFormat="1" applyFont="1" applyFill="1" applyBorder="1" applyAlignment="1">
      <alignment horizontal="right" vertical="center"/>
    </xf>
    <xf numFmtId="171" fontId="23" fillId="52" borderId="69" xfId="0" applyNumberFormat="1" applyFont="1" applyFill="1" applyBorder="1" applyAlignment="1">
      <alignment horizontal="right" vertical="center"/>
    </xf>
    <xf numFmtId="9" fontId="39" fillId="43" borderId="78" xfId="0" applyNumberFormat="1" applyFont="1" applyFill="1" applyBorder="1" applyAlignment="1">
      <alignment horizontal="center" vertical="center" wrapText="1"/>
    </xf>
    <xf numFmtId="9" fontId="39" fillId="46" borderId="71" xfId="0" applyNumberFormat="1" applyFont="1" applyFill="1" applyBorder="1" applyAlignment="1">
      <alignment horizontal="center" vertical="center" wrapText="1"/>
    </xf>
    <xf numFmtId="9" fontId="39" fillId="46" borderId="78" xfId="0" applyNumberFormat="1" applyFont="1" applyFill="1" applyBorder="1" applyAlignment="1">
      <alignment horizontal="center" vertical="center" wrapText="1"/>
    </xf>
    <xf numFmtId="9" fontId="39" fillId="49" borderId="6" xfId="0" applyNumberFormat="1" applyFont="1" applyFill="1" applyBorder="1" applyAlignment="1">
      <alignment horizontal="center" vertical="center" wrapText="1"/>
    </xf>
    <xf numFmtId="9" fontId="39" fillId="49" borderId="79" xfId="0" applyNumberFormat="1" applyFont="1" applyFill="1" applyBorder="1" applyAlignment="1">
      <alignment horizontal="center" vertical="center" wrapText="1"/>
    </xf>
    <xf numFmtId="9" fontId="39" fillId="49" borderId="71" xfId="0" applyNumberFormat="1" applyFont="1" applyFill="1" applyBorder="1" applyAlignment="1">
      <alignment horizontal="center" vertical="center" wrapText="1"/>
    </xf>
    <xf numFmtId="9" fontId="39" fillId="50" borderId="6" xfId="0" applyNumberFormat="1" applyFont="1" applyFill="1" applyBorder="1" applyAlignment="1">
      <alignment horizontal="center" vertical="center" wrapText="1"/>
    </xf>
    <xf numFmtId="9" fontId="39" fillId="50" borderId="79" xfId="0" applyNumberFormat="1" applyFont="1" applyFill="1" applyBorder="1" applyAlignment="1">
      <alignment horizontal="center" vertical="center" wrapText="1"/>
    </xf>
    <xf numFmtId="9" fontId="39" fillId="50" borderId="71" xfId="0" applyNumberFormat="1" applyFont="1" applyFill="1" applyBorder="1" applyAlignment="1">
      <alignment horizontal="center" vertical="center" wrapText="1"/>
    </xf>
    <xf numFmtId="9" fontId="39" fillId="50" borderId="78" xfId="0" applyNumberFormat="1" applyFont="1" applyFill="1" applyBorder="1" applyAlignment="1">
      <alignment horizontal="center" vertical="center" wrapText="1"/>
    </xf>
    <xf numFmtId="9" fontId="39" fillId="51" borderId="78" xfId="0" applyNumberFormat="1" applyFont="1" applyFill="1" applyBorder="1" applyAlignment="1">
      <alignment horizontal="center" vertical="center" wrapText="1"/>
    </xf>
    <xf numFmtId="9" fontId="39" fillId="51" borderId="6" xfId="0" applyNumberFormat="1" applyFont="1" applyFill="1" applyBorder="1" applyAlignment="1">
      <alignment horizontal="center" vertical="center" wrapText="1"/>
    </xf>
    <xf numFmtId="9" fontId="39" fillId="52" borderId="78" xfId="0" applyNumberFormat="1" applyFont="1" applyFill="1" applyBorder="1" applyAlignment="1">
      <alignment horizontal="center" vertical="center" wrapText="1"/>
    </xf>
    <xf numFmtId="9" fontId="39" fillId="52" borderId="78" xfId="0" applyNumberFormat="1" applyFont="1" applyFill="1" applyBorder="1" applyAlignment="1">
      <alignment horizontal="center" vertical="center"/>
    </xf>
    <xf numFmtId="9" fontId="39" fillId="53" borderId="78" xfId="0" applyNumberFormat="1" applyFont="1" applyFill="1" applyBorder="1" applyAlignment="1">
      <alignment horizontal="center" vertical="center" wrapText="1"/>
    </xf>
    <xf numFmtId="171" fontId="25" fillId="36" borderId="77" xfId="0" applyNumberFormat="1" applyFont="1" applyFill="1" applyBorder="1" applyAlignment="1">
      <alignment horizontal="right" vertical="center"/>
    </xf>
    <xf numFmtId="171" fontId="25" fillId="36" borderId="59" xfId="0" applyNumberFormat="1" applyFont="1" applyFill="1" applyBorder="1" applyAlignment="1">
      <alignment horizontal="right" vertical="center"/>
    </xf>
    <xf numFmtId="171" fontId="25" fillId="34" borderId="77" xfId="0" applyNumberFormat="1" applyFont="1" applyFill="1" applyBorder="1" applyAlignment="1">
      <alignment horizontal="right" vertical="center"/>
    </xf>
    <xf numFmtId="171" fontId="25" fillId="34" borderId="71" xfId="0" applyNumberFormat="1" applyFont="1" applyFill="1" applyBorder="1" applyAlignment="1">
      <alignment horizontal="right" vertical="center"/>
    </xf>
    <xf numFmtId="171" fontId="23" fillId="34" borderId="71" xfId="0" applyNumberFormat="1" applyFont="1" applyFill="1" applyBorder="1" applyAlignment="1">
      <alignment horizontal="right" vertical="center"/>
    </xf>
    <xf numFmtId="171" fontId="25" fillId="34" borderId="78" xfId="0" applyNumberFormat="1" applyFont="1" applyFill="1" applyBorder="1" applyAlignment="1">
      <alignment horizontal="right" vertical="center"/>
    </xf>
    <xf numFmtId="171" fontId="25" fillId="35" borderId="78" xfId="0" applyNumberFormat="1" applyFont="1" applyFill="1" applyBorder="1" applyAlignment="1">
      <alignment horizontal="right" vertical="center"/>
    </xf>
    <xf numFmtId="171" fontId="25" fillId="36" borderId="78" xfId="0" applyNumberFormat="1" applyFont="1" applyFill="1" applyBorder="1" applyAlignment="1">
      <alignment horizontal="right" vertical="center"/>
    </xf>
    <xf numFmtId="171" fontId="25" fillId="36" borderId="6" xfId="0" applyNumberFormat="1" applyFont="1" applyFill="1" applyBorder="1" applyAlignment="1">
      <alignment horizontal="right" vertical="center"/>
    </xf>
    <xf numFmtId="171" fontId="25" fillId="54" borderId="78" xfId="0" applyNumberFormat="1" applyFont="1" applyFill="1" applyBorder="1" applyAlignment="1">
      <alignment horizontal="right" vertical="center"/>
    </xf>
    <xf numFmtId="171" fontId="25" fillId="34" borderId="6" xfId="0" applyNumberFormat="1" applyFont="1" applyFill="1" applyBorder="1" applyAlignment="1">
      <alignment horizontal="right" vertical="center"/>
    </xf>
    <xf numFmtId="171" fontId="25" fillId="39" borderId="78" xfId="0" applyNumberFormat="1" applyFont="1" applyFill="1" applyBorder="1" applyAlignment="1">
      <alignment horizontal="right" vertical="center"/>
    </xf>
    <xf numFmtId="171" fontId="23" fillId="40" borderId="71" xfId="0" applyNumberFormat="1" applyFont="1" applyFill="1" applyBorder="1" applyAlignment="1">
      <alignment horizontal="right" vertical="center"/>
    </xf>
    <xf numFmtId="171" fontId="25" fillId="40" borderId="78" xfId="0" applyNumberFormat="1" applyFont="1" applyFill="1" applyBorder="1" applyAlignment="1">
      <alignment horizontal="right" vertical="center"/>
    </xf>
    <xf numFmtId="171" fontId="44" fillId="41" borderId="78" xfId="0" applyNumberFormat="1" applyFont="1" applyFill="1" applyBorder="1" applyAlignment="1">
      <alignment horizontal="right" vertical="center"/>
    </xf>
    <xf numFmtId="171" fontId="44" fillId="39" borderId="78" xfId="0" applyNumberFormat="1" applyFont="1" applyFill="1" applyBorder="1" applyAlignment="1">
      <alignment horizontal="right" vertical="center"/>
    </xf>
    <xf numFmtId="171" fontId="43" fillId="39" borderId="71" xfId="0" applyNumberFormat="1" applyFont="1" applyFill="1" applyBorder="1" applyAlignment="1">
      <alignment horizontal="right" vertical="center"/>
    </xf>
    <xf numFmtId="171" fontId="44" fillId="41" borderId="71" xfId="0" applyNumberFormat="1" applyFont="1" applyFill="1" applyBorder="1" applyAlignment="1">
      <alignment horizontal="right" vertical="center"/>
    </xf>
    <xf numFmtId="171" fontId="44" fillId="43" borderId="78" xfId="0" applyNumberFormat="1" applyFont="1" applyFill="1" applyBorder="1" applyAlignment="1">
      <alignment horizontal="right" vertical="center"/>
    </xf>
    <xf numFmtId="171" fontId="44" fillId="43" borderId="71" xfId="0" applyNumberFormat="1" applyFont="1" applyFill="1" applyBorder="1" applyAlignment="1">
      <alignment horizontal="right" vertical="center"/>
    </xf>
    <xf numFmtId="171" fontId="44" fillId="44" borderId="78" xfId="0" applyNumberFormat="1" applyFont="1" applyFill="1" applyBorder="1" applyAlignment="1">
      <alignment horizontal="right" vertical="center"/>
    </xf>
    <xf numFmtId="171" fontId="44" fillId="45" borderId="78" xfId="0" applyNumberFormat="1" applyFont="1" applyFill="1" applyBorder="1" applyAlignment="1">
      <alignment horizontal="right" vertical="center"/>
    </xf>
    <xf numFmtId="171" fontId="44" fillId="46" borderId="78" xfId="0" applyNumberFormat="1" applyFont="1" applyFill="1" applyBorder="1" applyAlignment="1">
      <alignment horizontal="right" vertical="center"/>
    </xf>
    <xf numFmtId="171" fontId="44" fillId="46" borderId="71" xfId="0" applyNumberFormat="1" applyFont="1" applyFill="1" applyBorder="1" applyAlignment="1">
      <alignment horizontal="right" vertical="center"/>
    </xf>
    <xf numFmtId="171" fontId="44" fillId="47" borderId="78" xfId="0" applyNumberFormat="1" applyFont="1" applyFill="1" applyBorder="1" applyAlignment="1">
      <alignment horizontal="right" vertical="center"/>
    </xf>
    <xf numFmtId="171" fontId="25" fillId="49" borderId="78" xfId="0" applyNumberFormat="1" applyFont="1" applyFill="1" applyBorder="1" applyAlignment="1">
      <alignment horizontal="right" vertical="center"/>
    </xf>
    <xf numFmtId="171" fontId="25" fillId="50" borderId="78" xfId="0" applyNumberFormat="1" applyFont="1" applyFill="1" applyBorder="1" applyAlignment="1">
      <alignment horizontal="right" vertical="center"/>
    </xf>
    <xf numFmtId="171" fontId="25" fillId="48" borderId="78" xfId="0" applyNumberFormat="1" applyFont="1" applyFill="1" applyBorder="1" applyAlignment="1">
      <alignment horizontal="right" vertical="center"/>
    </xf>
    <xf numFmtId="0" fontId="25" fillId="48" borderId="78" xfId="0" applyFont="1" applyFill="1" applyBorder="1" applyAlignment="1">
      <alignment horizontal="right" vertical="center"/>
    </xf>
    <xf numFmtId="0" fontId="25" fillId="49" borderId="78" xfId="0" applyFont="1" applyFill="1" applyBorder="1" applyAlignment="1">
      <alignment horizontal="right" vertical="center"/>
    </xf>
    <xf numFmtId="171" fontId="23" fillId="49" borderId="71" xfId="0" applyNumberFormat="1" applyFont="1" applyFill="1" applyBorder="1" applyAlignment="1">
      <alignment horizontal="right" vertical="center"/>
    </xf>
    <xf numFmtId="171" fontId="23" fillId="48" borderId="71" xfId="0" applyNumberFormat="1" applyFont="1" applyFill="1" applyBorder="1" applyAlignment="1">
      <alignment horizontal="right" vertical="center"/>
    </xf>
    <xf numFmtId="171" fontId="25" fillId="51" borderId="78" xfId="0" applyNumberFormat="1" applyFont="1" applyFill="1" applyBorder="1" applyAlignment="1">
      <alignment horizontal="right" vertical="center"/>
    </xf>
    <xf numFmtId="171" fontId="25" fillId="52" borderId="78" xfId="0" applyNumberFormat="1" applyFont="1" applyFill="1" applyBorder="1" applyAlignment="1">
      <alignment horizontal="right" vertical="center"/>
    </xf>
    <xf numFmtId="171" fontId="25" fillId="53" borderId="78" xfId="0" applyNumberFormat="1" applyFont="1" applyFill="1" applyBorder="1" applyAlignment="1">
      <alignment horizontal="right" vertical="center"/>
    </xf>
    <xf numFmtId="3" fontId="7" fillId="23" borderId="30" xfId="4" applyNumberFormat="1" applyFont="1" applyFill="1" applyBorder="1" applyAlignment="1">
      <alignment vertical="center" wrapText="1"/>
    </xf>
    <xf numFmtId="0" fontId="4" fillId="23" borderId="59" xfId="4" applyFont="1" applyFill="1" applyBorder="1" applyAlignment="1">
      <alignment vertical="center" wrapText="1"/>
    </xf>
    <xf numFmtId="0" fontId="6" fillId="35" borderId="79" xfId="0" applyFont="1" applyFill="1" applyBorder="1" applyAlignment="1">
      <alignment horizontal="center" vertical="center" wrapText="1"/>
    </xf>
    <xf numFmtId="0" fontId="32" fillId="34" borderId="71" xfId="0" applyFont="1" applyFill="1" applyBorder="1" applyAlignment="1">
      <alignment horizontal="center" vertical="center" wrapText="1"/>
    </xf>
    <xf numFmtId="0" fontId="32" fillId="39" borderId="71" xfId="0" applyFont="1" applyFill="1" applyBorder="1" applyAlignment="1">
      <alignment horizontal="center" vertical="center" wrapText="1"/>
    </xf>
    <xf numFmtId="0" fontId="32" fillId="40" borderId="71" xfId="0" applyFont="1" applyFill="1" applyBorder="1" applyAlignment="1">
      <alignment horizontal="center" vertical="center" wrapText="1"/>
    </xf>
    <xf numFmtId="0" fontId="32" fillId="44" borderId="71" xfId="0" applyFont="1" applyFill="1" applyBorder="1" applyAlignment="1">
      <alignment horizontal="center" vertical="center" wrapText="1"/>
    </xf>
    <xf numFmtId="0" fontId="32" fillId="46" borderId="71" xfId="0" applyFont="1" applyFill="1" applyBorder="1" applyAlignment="1">
      <alignment horizontal="center" vertical="center" wrapText="1"/>
    </xf>
    <xf numFmtId="0" fontId="6" fillId="46" borderId="71" xfId="0" applyFont="1" applyFill="1" applyBorder="1" applyAlignment="1">
      <alignment horizontal="center" vertical="center" wrapText="1"/>
    </xf>
    <xf numFmtId="0" fontId="6" fillId="47" borderId="71" xfId="0" applyFont="1" applyFill="1" applyBorder="1" applyAlignment="1">
      <alignment horizontal="center" vertical="center" wrapText="1"/>
    </xf>
    <xf numFmtId="0" fontId="32" fillId="49" borderId="71" xfId="0" applyFont="1" applyFill="1" applyBorder="1" applyAlignment="1">
      <alignment horizontal="center" vertical="center" wrapText="1"/>
    </xf>
    <xf numFmtId="0" fontId="32" fillId="48" borderId="71" xfId="0" applyFont="1" applyFill="1" applyBorder="1" applyAlignment="1">
      <alignment horizontal="center" vertical="center" wrapText="1"/>
    </xf>
    <xf numFmtId="0" fontId="6" fillId="50" borderId="71" xfId="0" applyFont="1" applyFill="1" applyBorder="1" applyAlignment="1">
      <alignment horizontal="center" vertical="center" wrapText="1"/>
    </xf>
    <xf numFmtId="0" fontId="32" fillId="51" borderId="71" xfId="0" applyFont="1" applyFill="1" applyBorder="1" applyAlignment="1">
      <alignment horizontal="center" vertical="center" wrapText="1"/>
    </xf>
    <xf numFmtId="0" fontId="32" fillId="52" borderId="71" xfId="0" applyFont="1" applyFill="1" applyBorder="1" applyAlignment="1">
      <alignment horizontal="center" vertical="center" wrapText="1"/>
    </xf>
    <xf numFmtId="0" fontId="32" fillId="53" borderId="71" xfId="0" applyFont="1" applyFill="1" applyBorder="1" applyAlignment="1">
      <alignment horizontal="center" vertical="center" wrapText="1"/>
    </xf>
    <xf numFmtId="0" fontId="6" fillId="51" borderId="71" xfId="0" applyFont="1" applyFill="1" applyBorder="1" applyAlignment="1">
      <alignment horizontal="center" vertical="center" wrapText="1"/>
    </xf>
    <xf numFmtId="0" fontId="32" fillId="52" borderId="6" xfId="0" applyFont="1" applyFill="1" applyBorder="1" applyAlignment="1">
      <alignment horizontal="center" vertical="center" wrapText="1"/>
    </xf>
    <xf numFmtId="171" fontId="44" fillId="0" borderId="71" xfId="0" applyNumberFormat="1" applyFont="1" applyFill="1" applyBorder="1" applyAlignment="1">
      <alignment horizontal="right" vertical="center"/>
    </xf>
    <xf numFmtId="171" fontId="44" fillId="0" borderId="78" xfId="0" applyNumberFormat="1" applyFont="1" applyFill="1" applyBorder="1" applyAlignment="1">
      <alignment horizontal="right" vertical="center"/>
    </xf>
    <xf numFmtId="171" fontId="4" fillId="50" borderId="77" xfId="0" applyNumberFormat="1" applyFont="1" applyFill="1" applyBorder="1" applyAlignment="1">
      <alignment vertical="center"/>
    </xf>
    <xf numFmtId="171" fontId="4" fillId="48" borderId="59" xfId="0" applyNumberFormat="1" applyFont="1" applyFill="1" applyBorder="1" applyAlignment="1">
      <alignment vertical="center"/>
    </xf>
    <xf numFmtId="172" fontId="4" fillId="0" borderId="0" xfId="4" applyNumberFormat="1" applyFont="1" applyFill="1" applyAlignment="1">
      <alignment vertical="center" wrapText="1"/>
    </xf>
    <xf numFmtId="10" fontId="4" fillId="23" borderId="35" xfId="2" applyNumberFormat="1" applyFont="1" applyFill="1" applyBorder="1" applyAlignment="1">
      <alignment vertical="center" wrapText="1"/>
    </xf>
    <xf numFmtId="10" fontId="4" fillId="0" borderId="35" xfId="2" applyNumberFormat="1" applyFont="1" applyFill="1" applyBorder="1" applyAlignment="1">
      <alignment vertical="center" wrapText="1"/>
    </xf>
    <xf numFmtId="0" fontId="7" fillId="0" borderId="0" xfId="4" applyFont="1" applyFill="1" applyBorder="1" applyAlignment="1">
      <alignment vertical="center" wrapText="1"/>
    </xf>
    <xf numFmtId="172" fontId="7" fillId="0" borderId="0" xfId="4" applyNumberFormat="1" applyFont="1" applyFill="1" applyBorder="1" applyAlignment="1">
      <alignment vertical="center" wrapText="1"/>
    </xf>
    <xf numFmtId="171" fontId="4" fillId="51" borderId="77" xfId="0" applyNumberFormat="1" applyFont="1" applyFill="1" applyBorder="1" applyAlignment="1">
      <alignment vertical="center"/>
    </xf>
    <xf numFmtId="171" fontId="4" fillId="51" borderId="58" xfId="0" applyNumberFormat="1" applyFont="1" applyFill="1" applyBorder="1" applyAlignment="1">
      <alignment vertical="center"/>
    </xf>
    <xf numFmtId="171" fontId="4" fillId="51" borderId="59" xfId="0" applyNumberFormat="1" applyFont="1" applyFill="1" applyBorder="1" applyAlignment="1">
      <alignment vertical="center"/>
    </xf>
    <xf numFmtId="171" fontId="4" fillId="52" borderId="59" xfId="0" applyNumberFormat="1" applyFont="1" applyFill="1" applyBorder="1" applyAlignment="1">
      <alignment vertical="center"/>
    </xf>
    <xf numFmtId="171" fontId="46" fillId="46" borderId="69" xfId="0" applyNumberFormat="1" applyFont="1" applyFill="1" applyBorder="1" applyAlignment="1">
      <alignment horizontal="right" vertical="center"/>
    </xf>
    <xf numFmtId="171" fontId="46" fillId="44" borderId="69" xfId="0" applyNumberFormat="1" applyFont="1" applyFill="1" applyBorder="1" applyAlignment="1">
      <alignment horizontal="right" vertical="center"/>
    </xf>
    <xf numFmtId="171" fontId="46" fillId="46" borderId="67" xfId="0" applyNumberFormat="1" applyFont="1" applyFill="1" applyBorder="1" applyAlignment="1">
      <alignment horizontal="right" vertical="center"/>
    </xf>
    <xf numFmtId="171" fontId="25" fillId="0" borderId="69" xfId="0" applyNumberFormat="1" applyFont="1" applyFill="1" applyBorder="1" applyAlignment="1">
      <alignment horizontal="right" vertical="center"/>
    </xf>
    <xf numFmtId="171" fontId="25" fillId="0" borderId="78" xfId="0" applyNumberFormat="1" applyFont="1" applyFill="1" applyBorder="1" applyAlignment="1">
      <alignment horizontal="right" vertical="center"/>
    </xf>
    <xf numFmtId="10" fontId="7" fillId="22" borderId="32" xfId="2" applyNumberFormat="1" applyFont="1" applyFill="1" applyBorder="1" applyAlignment="1">
      <alignment horizontal="center" vertical="center" wrapText="1"/>
    </xf>
    <xf numFmtId="49" fontId="17" fillId="14" borderId="47" xfId="0" applyNumberFormat="1" applyFont="1" applyFill="1" applyBorder="1" applyAlignment="1">
      <alignment horizontal="center" vertical="center" wrapText="1"/>
    </xf>
    <xf numFmtId="10" fontId="4" fillId="0" borderId="30" xfId="2" applyNumberFormat="1" applyFont="1" applyFill="1" applyBorder="1" applyAlignment="1">
      <alignment horizontal="center" vertical="center" wrapText="1"/>
    </xf>
    <xf numFmtId="10" fontId="8" fillId="6" borderId="7" xfId="4" applyNumberFormat="1" applyFont="1" applyFill="1" applyBorder="1" applyAlignment="1">
      <alignment horizontal="center" vertical="center" wrapText="1"/>
    </xf>
    <xf numFmtId="164" fontId="0" fillId="0" borderId="0" xfId="0" applyNumberFormat="1"/>
    <xf numFmtId="167" fontId="7" fillId="15" borderId="48" xfId="3" applyNumberFormat="1" applyFont="1" applyFill="1" applyBorder="1" applyAlignment="1">
      <alignment horizontal="center"/>
    </xf>
    <xf numFmtId="167" fontId="7" fillId="16" borderId="48" xfId="3" applyNumberFormat="1" applyFont="1" applyFill="1" applyBorder="1" applyAlignment="1">
      <alignment horizontal="center"/>
    </xf>
    <xf numFmtId="167" fontId="4" fillId="0" borderId="48" xfId="3" applyNumberFormat="1" applyFont="1" applyBorder="1" applyAlignment="1">
      <alignment horizontal="center"/>
    </xf>
    <xf numFmtId="0" fontId="22" fillId="0" borderId="0" xfId="0" applyFont="1"/>
    <xf numFmtId="167" fontId="4" fillId="0" borderId="48" xfId="3" applyNumberFormat="1" applyFont="1" applyFill="1" applyBorder="1" applyAlignment="1">
      <alignment horizontal="center"/>
    </xf>
    <xf numFmtId="0" fontId="19" fillId="0" borderId="0" xfId="0" applyFont="1"/>
    <xf numFmtId="0" fontId="17" fillId="0" borderId="48" xfId="0" applyFont="1" applyBorder="1" applyAlignment="1">
      <alignment horizontal="center" vertical="center"/>
    </xf>
    <xf numFmtId="0" fontId="7" fillId="0" borderId="48" xfId="0" applyFont="1" applyBorder="1"/>
    <xf numFmtId="167" fontId="4" fillId="16" borderId="48" xfId="3" applyNumberFormat="1" applyFont="1" applyFill="1" applyBorder="1" applyAlignment="1">
      <alignment horizontal="center"/>
    </xf>
    <xf numFmtId="167" fontId="4" fillId="17" borderId="48" xfId="3" applyNumberFormat="1" applyFont="1" applyFill="1" applyBorder="1" applyAlignment="1">
      <alignment horizontal="center"/>
    </xf>
    <xf numFmtId="49" fontId="17" fillId="55" borderId="48" xfId="0" applyNumberFormat="1" applyFont="1" applyFill="1" applyBorder="1" applyAlignment="1">
      <alignment horizontal="center" vertical="center"/>
    </xf>
    <xf numFmtId="0" fontId="21" fillId="55" borderId="48" xfId="0" applyFont="1" applyFill="1" applyBorder="1" applyAlignment="1">
      <alignment horizontal="center" vertical="center"/>
    </xf>
    <xf numFmtId="0" fontId="45" fillId="55" borderId="48" xfId="0" applyFont="1" applyFill="1" applyBorder="1" applyAlignment="1">
      <alignment vertical="center" wrapText="1"/>
    </xf>
    <xf numFmtId="167" fontId="47" fillId="55" borderId="48" xfId="3" applyNumberFormat="1" applyFont="1" applyFill="1" applyBorder="1" applyAlignment="1">
      <alignment vertical="center" wrapText="1"/>
    </xf>
    <xf numFmtId="49" fontId="14" fillId="0" borderId="43" xfId="4" quotePrefix="1" applyNumberFormat="1" applyFont="1" applyBorder="1" applyAlignment="1">
      <alignment vertical="center" wrapText="1"/>
    </xf>
    <xf numFmtId="167" fontId="16" fillId="0" borderId="42" xfId="3" applyNumberFormat="1" applyFont="1" applyBorder="1" applyAlignment="1">
      <alignment horizontal="right" vertical="center"/>
    </xf>
    <xf numFmtId="0" fontId="16" fillId="3" borderId="42" xfId="4" applyFont="1" applyFill="1" applyBorder="1" applyAlignment="1">
      <alignment horizontal="left" vertical="center"/>
    </xf>
    <xf numFmtId="43" fontId="16" fillId="0" borderId="42" xfId="3" applyFont="1" applyFill="1" applyBorder="1" applyAlignment="1">
      <alignment horizontal="left" vertical="center"/>
    </xf>
    <xf numFmtId="10" fontId="16" fillId="0" borderId="42" xfId="2" applyNumberFormat="1" applyFont="1" applyFill="1" applyBorder="1" applyAlignment="1">
      <alignment horizontal="left" vertical="center"/>
    </xf>
    <xf numFmtId="167" fontId="0" fillId="0" borderId="0" xfId="0" applyNumberFormat="1"/>
    <xf numFmtId="0" fontId="1" fillId="0" borderId="24" xfId="1" applyBorder="1" applyAlignment="1">
      <alignment vertical="center"/>
    </xf>
    <xf numFmtId="0" fontId="0" fillId="0" borderId="26" xfId="0" applyBorder="1" applyAlignment="1">
      <alignment vertical="center"/>
    </xf>
    <xf numFmtId="171" fontId="4" fillId="53" borderId="78" xfId="0" applyNumberFormat="1" applyFont="1" applyFill="1" applyBorder="1" applyAlignment="1">
      <alignment horizontal="right" vertical="center"/>
    </xf>
    <xf numFmtId="171" fontId="4" fillId="51" borderId="78" xfId="0" applyNumberFormat="1" applyFont="1" applyFill="1" applyBorder="1" applyAlignment="1">
      <alignment horizontal="right" vertical="center"/>
    </xf>
    <xf numFmtId="171" fontId="4" fillId="51" borderId="6" xfId="0" applyNumberFormat="1" applyFont="1" applyFill="1" applyBorder="1" applyAlignment="1">
      <alignment vertical="center"/>
    </xf>
    <xf numFmtId="171" fontId="4" fillId="52" borderId="71" xfId="0" applyNumberFormat="1" applyFont="1" applyFill="1" applyBorder="1" applyAlignment="1">
      <alignment horizontal="right" vertical="center"/>
    </xf>
    <xf numFmtId="171" fontId="4" fillId="52" borderId="59" xfId="0" applyNumberFormat="1" applyFont="1" applyFill="1" applyBorder="1" applyAlignment="1">
      <alignment horizontal="right" vertical="center"/>
    </xf>
    <xf numFmtId="171" fontId="4" fillId="52" borderId="58" xfId="0" applyNumberFormat="1" applyFont="1" applyFill="1" applyBorder="1" applyAlignment="1">
      <alignment horizontal="right" vertical="center"/>
    </xf>
    <xf numFmtId="171" fontId="4" fillId="51" borderId="59" xfId="0" applyNumberFormat="1" applyFont="1" applyFill="1" applyBorder="1" applyAlignment="1">
      <alignment horizontal="right" vertical="center"/>
    </xf>
    <xf numFmtId="0" fontId="7" fillId="0" borderId="0" xfId="4" applyFont="1" applyFill="1" applyBorder="1" applyAlignment="1">
      <alignment horizontal="center" vertical="center" wrapText="1"/>
    </xf>
    <xf numFmtId="0" fontId="32" fillId="0" borderId="0" xfId="0" applyFont="1" applyAlignment="1">
      <alignment horizontal="center"/>
    </xf>
    <xf numFmtId="0" fontId="7" fillId="0" borderId="0" xfId="4" applyFont="1" applyFill="1" applyAlignment="1">
      <alignment vertical="center" wrapText="1"/>
    </xf>
    <xf numFmtId="3" fontId="4" fillId="0" borderId="32" xfId="4" applyNumberFormat="1" applyFont="1" applyFill="1" applyBorder="1" applyAlignment="1">
      <alignment horizontal="center" vertical="center" wrapText="1"/>
    </xf>
    <xf numFmtId="10" fontId="4" fillId="23" borderId="32" xfId="2" applyNumberFormat="1" applyFont="1" applyFill="1" applyBorder="1" applyAlignment="1">
      <alignment horizontal="center" vertical="center" wrapText="1"/>
    </xf>
    <xf numFmtId="10" fontId="4" fillId="0" borderId="32" xfId="2" applyNumberFormat="1" applyFont="1" applyFill="1" applyBorder="1" applyAlignment="1">
      <alignment horizontal="center" vertical="center" wrapText="1"/>
    </xf>
    <xf numFmtId="1" fontId="4" fillId="3" borderId="29" xfId="4" applyNumberFormat="1" applyFont="1" applyFill="1" applyBorder="1" applyAlignment="1">
      <alignment horizontal="center" vertical="center" wrapText="1"/>
    </xf>
    <xf numFmtId="3" fontId="4" fillId="23" borderId="59" xfId="4" applyNumberFormat="1" applyFont="1" applyFill="1" applyBorder="1" applyAlignment="1">
      <alignment vertical="center" wrapText="1"/>
    </xf>
    <xf numFmtId="171" fontId="4" fillId="51" borderId="30" xfId="0" applyNumberFormat="1" applyFont="1" applyFill="1" applyBorder="1" applyAlignment="1">
      <alignment vertical="center"/>
    </xf>
    <xf numFmtId="9" fontId="4" fillId="0" borderId="32" xfId="2" applyFont="1" applyFill="1" applyBorder="1" applyAlignment="1">
      <alignment horizontal="center" vertical="center" wrapText="1"/>
    </xf>
    <xf numFmtId="0" fontId="4" fillId="5" borderId="15" xfId="4" applyFont="1" applyFill="1" applyBorder="1" applyAlignment="1">
      <alignment vertical="center" wrapText="1"/>
    </xf>
    <xf numFmtId="0" fontId="4" fillId="0" borderId="0" xfId="4" applyFont="1" applyFill="1" applyBorder="1" applyAlignment="1">
      <alignment vertical="center" wrapText="1"/>
    </xf>
    <xf numFmtId="0" fontId="14" fillId="0" borderId="42" xfId="4" applyFont="1" applyBorder="1" applyAlignment="1">
      <alignment horizontal="center" vertical="center"/>
    </xf>
    <xf numFmtId="49" fontId="14" fillId="0" borderId="42" xfId="4" applyNumberFormat="1" applyFont="1" applyBorder="1" applyAlignment="1">
      <alignment horizontal="center" vertical="center"/>
    </xf>
    <xf numFmtId="0" fontId="14" fillId="0" borderId="42" xfId="4" applyFont="1" applyBorder="1" applyAlignment="1">
      <alignment horizontal="left" vertical="center"/>
    </xf>
    <xf numFmtId="167" fontId="14" fillId="0" borderId="42" xfId="3" applyNumberFormat="1" applyFont="1" applyFill="1" applyBorder="1" applyAlignment="1">
      <alignment horizontal="right" vertical="center"/>
    </xf>
    <xf numFmtId="3" fontId="4" fillId="0" borderId="18" xfId="4" applyNumberFormat="1" applyFont="1" applyFill="1" applyBorder="1" applyAlignment="1">
      <alignment vertical="center" wrapText="1"/>
    </xf>
    <xf numFmtId="0" fontId="4" fillId="0" borderId="18" xfId="4" applyFont="1" applyFill="1" applyBorder="1" applyAlignment="1">
      <alignment vertical="center" wrapText="1"/>
    </xf>
    <xf numFmtId="0" fontId="7" fillId="22" borderId="18" xfId="4" applyFont="1" applyFill="1" applyBorder="1" applyAlignment="1">
      <alignment vertical="center" wrapText="1"/>
    </xf>
    <xf numFmtId="0" fontId="4" fillId="23" borderId="18" xfId="4" applyFont="1" applyFill="1" applyBorder="1" applyAlignment="1">
      <alignment vertical="center" wrapText="1"/>
    </xf>
    <xf numFmtId="0" fontId="39" fillId="53" borderId="68" xfId="0" applyFont="1" applyFill="1" applyBorder="1" applyAlignment="1">
      <alignment horizontal="center" vertical="center"/>
    </xf>
    <xf numFmtId="1" fontId="4" fillId="0" borderId="31" xfId="4" applyNumberFormat="1" applyFont="1" applyFill="1" applyBorder="1" applyAlignment="1">
      <alignment horizontal="center" vertical="center" wrapText="1"/>
    </xf>
    <xf numFmtId="14" fontId="4" fillId="0" borderId="31" xfId="4" applyNumberFormat="1" applyFont="1" applyFill="1" applyBorder="1" applyAlignment="1">
      <alignment vertical="center" wrapText="1"/>
    </xf>
    <xf numFmtId="10" fontId="4" fillId="0" borderId="0" xfId="2" applyNumberFormat="1" applyFont="1" applyFill="1" applyBorder="1" applyAlignment="1">
      <alignment horizontal="center" vertical="center" wrapText="1"/>
    </xf>
    <xf numFmtId="9" fontId="39" fillId="53" borderId="5" xfId="0" applyNumberFormat="1" applyFont="1" applyFill="1" applyBorder="1" applyAlignment="1">
      <alignment horizontal="center" vertical="center" wrapText="1"/>
    </xf>
    <xf numFmtId="9" fontId="39" fillId="53" borderId="6" xfId="0" applyNumberFormat="1" applyFont="1" applyFill="1" applyBorder="1" applyAlignment="1">
      <alignment horizontal="center" vertical="center" wrapText="1"/>
    </xf>
    <xf numFmtId="171" fontId="25" fillId="53" borderId="6" xfId="0" applyNumberFormat="1" applyFont="1" applyFill="1" applyBorder="1" applyAlignment="1">
      <alignment horizontal="right" vertical="center"/>
    </xf>
    <xf numFmtId="171" fontId="25" fillId="53" borderId="68" xfId="0" applyNumberFormat="1" applyFont="1" applyFill="1" applyBorder="1" applyAlignment="1">
      <alignment horizontal="right" vertical="center"/>
    </xf>
    <xf numFmtId="10" fontId="4" fillId="0" borderId="32" xfId="2" applyNumberFormat="1" applyFont="1" applyFill="1" applyBorder="1" applyAlignment="1">
      <alignment horizontal="right" vertical="center" wrapText="1"/>
    </xf>
    <xf numFmtId="10" fontId="4" fillId="0" borderId="5" xfId="2" applyNumberFormat="1" applyFont="1" applyFill="1" applyBorder="1" applyAlignment="1">
      <alignment vertical="center" wrapText="1"/>
    </xf>
    <xf numFmtId="171" fontId="6" fillId="0" borderId="80" xfId="0" applyNumberFormat="1" applyFont="1" applyFill="1" applyBorder="1" applyAlignment="1">
      <alignment horizontal="right" vertical="center"/>
    </xf>
    <xf numFmtId="171" fontId="42" fillId="0" borderId="61" xfId="0" applyNumberFormat="1" applyFont="1" applyFill="1" applyBorder="1" applyAlignment="1">
      <alignment horizontal="right" vertical="center"/>
    </xf>
    <xf numFmtId="3" fontId="4" fillId="23" borderId="18" xfId="4" applyNumberFormat="1" applyFont="1" applyFill="1" applyBorder="1" applyAlignment="1">
      <alignment vertical="center" wrapText="1"/>
    </xf>
    <xf numFmtId="3" fontId="4" fillId="0" borderId="19" xfId="4" applyNumberFormat="1" applyFont="1" applyFill="1" applyBorder="1" applyAlignment="1">
      <alignment vertical="center" wrapText="1"/>
    </xf>
    <xf numFmtId="0" fontId="4" fillId="0" borderId="5" xfId="4" applyFont="1" applyFill="1" applyBorder="1" applyAlignment="1">
      <alignment vertical="center" wrapText="1"/>
    </xf>
    <xf numFmtId="3" fontId="7" fillId="22" borderId="32" xfId="4" applyNumberFormat="1" applyFont="1" applyFill="1" applyBorder="1" applyAlignment="1">
      <alignment vertical="center" wrapText="1"/>
    </xf>
    <xf numFmtId="3" fontId="4" fillId="23" borderId="32" xfId="4" applyNumberFormat="1" applyFont="1" applyFill="1" applyBorder="1" applyAlignment="1">
      <alignment vertical="center" wrapText="1"/>
    </xf>
    <xf numFmtId="3" fontId="4" fillId="0" borderId="32" xfId="4" applyNumberFormat="1" applyFont="1" applyFill="1" applyBorder="1" applyAlignment="1">
      <alignment vertical="center" wrapText="1"/>
    </xf>
    <xf numFmtId="3" fontId="4" fillId="23" borderId="35" xfId="4" applyNumberFormat="1" applyFont="1" applyFill="1" applyBorder="1" applyAlignment="1">
      <alignment vertical="center" wrapText="1"/>
    </xf>
    <xf numFmtId="3" fontId="4" fillId="0" borderId="35" xfId="4" applyNumberFormat="1" applyFont="1" applyFill="1" applyBorder="1" applyAlignment="1">
      <alignment vertical="center" wrapText="1"/>
    </xf>
    <xf numFmtId="0" fontId="7" fillId="22" borderId="32" xfId="4" applyFont="1" applyFill="1" applyBorder="1" applyAlignment="1">
      <alignment vertical="center" wrapText="1"/>
    </xf>
    <xf numFmtId="0" fontId="4" fillId="23" borderId="32" xfId="4" applyFont="1" applyFill="1" applyBorder="1" applyAlignment="1">
      <alignment vertical="center" wrapText="1"/>
    </xf>
    <xf numFmtId="0" fontId="4" fillId="0" borderId="32" xfId="4" applyFont="1" applyFill="1" applyBorder="1" applyAlignment="1">
      <alignment vertical="center" wrapText="1"/>
    </xf>
    <xf numFmtId="0" fontId="4" fillId="0" borderId="35" xfId="4" applyFont="1" applyFill="1" applyBorder="1" applyAlignment="1">
      <alignment vertical="center" wrapText="1"/>
    </xf>
    <xf numFmtId="0" fontId="39" fillId="43" borderId="5" xfId="0" applyFont="1" applyFill="1" applyBorder="1" applyAlignment="1">
      <alignment vertical="center" wrapText="1"/>
    </xf>
    <xf numFmtId="0" fontId="39" fillId="43" borderId="30" xfId="0" applyFont="1" applyFill="1" applyBorder="1" applyAlignment="1">
      <alignment vertical="center" wrapText="1"/>
    </xf>
    <xf numFmtId="9" fontId="4" fillId="3" borderId="30" xfId="2" applyFont="1" applyFill="1" applyBorder="1" applyAlignment="1">
      <alignment horizontal="center" vertical="center" wrapText="1"/>
    </xf>
    <xf numFmtId="3" fontId="4" fillId="3" borderId="30" xfId="4" applyNumberFormat="1" applyFont="1" applyFill="1" applyBorder="1" applyAlignment="1">
      <alignment horizontal="center" vertical="center" wrapText="1"/>
    </xf>
    <xf numFmtId="9" fontId="4" fillId="3" borderId="29" xfId="2" applyFont="1" applyFill="1" applyBorder="1" applyAlignment="1">
      <alignment horizontal="center" vertical="center" wrapText="1"/>
    </xf>
    <xf numFmtId="3" fontId="4" fillId="3" borderId="30" xfId="4" applyNumberFormat="1" applyFont="1" applyFill="1" applyBorder="1" applyAlignment="1">
      <alignment vertical="center" wrapText="1"/>
    </xf>
    <xf numFmtId="3" fontId="4" fillId="3" borderId="35" xfId="4" applyNumberFormat="1" applyFont="1" applyFill="1" applyBorder="1" applyAlignment="1">
      <alignment vertical="center" wrapText="1"/>
    </xf>
    <xf numFmtId="3" fontId="4" fillId="3" borderId="32" xfId="4" applyNumberFormat="1" applyFont="1" applyFill="1" applyBorder="1" applyAlignment="1">
      <alignment vertical="center" wrapText="1"/>
    </xf>
    <xf numFmtId="0" fontId="4" fillId="3" borderId="32" xfId="4" applyFont="1" applyFill="1" applyBorder="1" applyAlignment="1">
      <alignment vertical="center" wrapText="1"/>
    </xf>
    <xf numFmtId="9" fontId="39" fillId="52" borderId="81" xfId="0" applyNumberFormat="1" applyFont="1" applyFill="1" applyBorder="1" applyAlignment="1">
      <alignment horizontal="center" vertical="center"/>
    </xf>
    <xf numFmtId="0" fontId="39" fillId="53" borderId="5" xfId="0" applyFont="1" applyFill="1" applyBorder="1" applyAlignment="1">
      <alignment vertical="center" wrapText="1"/>
    </xf>
    <xf numFmtId="0" fontId="39" fillId="53" borderId="0" xfId="0" applyFont="1" applyFill="1" applyBorder="1" applyAlignment="1">
      <alignment horizontal="center" vertical="center" wrapText="1"/>
    </xf>
    <xf numFmtId="0" fontId="39" fillId="53" borderId="9" xfId="0" applyFont="1" applyFill="1" applyBorder="1" applyAlignment="1">
      <alignment horizontal="center" vertical="center"/>
    </xf>
    <xf numFmtId="0" fontId="39" fillId="53" borderId="5" xfId="0" applyFont="1" applyFill="1" applyBorder="1" applyAlignment="1">
      <alignment horizontal="center" vertical="center"/>
    </xf>
    <xf numFmtId="3" fontId="7" fillId="0" borderId="82" xfId="4" applyNumberFormat="1" applyFont="1" applyFill="1" applyBorder="1" applyAlignment="1">
      <alignment vertical="center" wrapText="1"/>
    </xf>
    <xf numFmtId="1" fontId="4" fillId="23" borderId="27" xfId="4" applyNumberFormat="1" applyFont="1" applyFill="1" applyBorder="1" applyAlignment="1">
      <alignment horizontal="center" vertical="center" wrapText="1"/>
    </xf>
    <xf numFmtId="1" fontId="4" fillId="23" borderId="35" xfId="4" applyNumberFormat="1" applyFont="1" applyFill="1" applyBorder="1" applyAlignment="1">
      <alignment horizontal="center" vertical="center" wrapText="1"/>
    </xf>
    <xf numFmtId="1" fontId="4" fillId="23" borderId="19" xfId="4" applyNumberFormat="1" applyFont="1" applyFill="1" applyBorder="1" applyAlignment="1">
      <alignment horizontal="center" vertical="center" wrapText="1"/>
    </xf>
    <xf numFmtId="0" fontId="4" fillId="23" borderId="5" xfId="4" applyFont="1" applyFill="1" applyBorder="1" applyAlignment="1">
      <alignment vertical="center" wrapText="1"/>
    </xf>
    <xf numFmtId="0" fontId="4" fillId="23" borderId="0" xfId="4" applyFont="1" applyFill="1" applyBorder="1" applyAlignment="1">
      <alignment vertical="center" wrapText="1"/>
    </xf>
    <xf numFmtId="0" fontId="4" fillId="23" borderId="9" xfId="4" applyFont="1" applyFill="1" applyBorder="1" applyAlignment="1">
      <alignment vertical="center" wrapText="1"/>
    </xf>
    <xf numFmtId="14" fontId="4" fillId="23" borderId="27" xfId="4" applyNumberFormat="1" applyFont="1" applyFill="1" applyBorder="1" applyAlignment="1">
      <alignment vertical="center" wrapText="1"/>
    </xf>
    <xf numFmtId="0" fontId="4" fillId="23" borderId="9" xfId="4" applyFont="1" applyFill="1" applyBorder="1" applyAlignment="1">
      <alignment horizontal="center" vertical="center" wrapText="1"/>
    </xf>
    <xf numFmtId="9" fontId="4" fillId="23" borderId="58" xfId="2" applyFont="1" applyFill="1" applyBorder="1" applyAlignment="1">
      <alignment horizontal="center" vertical="center" wrapText="1"/>
    </xf>
    <xf numFmtId="3" fontId="4" fillId="23" borderId="58" xfId="4" applyNumberFormat="1" applyFont="1" applyFill="1" applyBorder="1" applyAlignment="1">
      <alignment vertical="center" wrapText="1"/>
    </xf>
    <xf numFmtId="10" fontId="4" fillId="23" borderId="35" xfId="2" applyNumberFormat="1" applyFont="1" applyFill="1" applyBorder="1" applyAlignment="1">
      <alignment horizontal="right" vertical="center" wrapText="1"/>
    </xf>
    <xf numFmtId="10" fontId="4" fillId="23" borderId="35" xfId="2" applyNumberFormat="1" applyFont="1" applyFill="1" applyBorder="1" applyAlignment="1">
      <alignment horizontal="center" vertical="center" wrapText="1"/>
    </xf>
    <xf numFmtId="3" fontId="7" fillId="23" borderId="58" xfId="4" applyNumberFormat="1" applyFont="1" applyFill="1" applyBorder="1" applyAlignment="1">
      <alignment vertical="center" wrapText="1"/>
    </xf>
    <xf numFmtId="3" fontId="7" fillId="23" borderId="9" xfId="4" applyNumberFormat="1" applyFont="1" applyFill="1" applyBorder="1" applyAlignment="1">
      <alignment vertical="center" wrapText="1"/>
    </xf>
    <xf numFmtId="3" fontId="7" fillId="23" borderId="27" xfId="4" applyNumberFormat="1" applyFont="1" applyFill="1" applyBorder="1" applyAlignment="1">
      <alignment vertical="center" wrapText="1"/>
    </xf>
    <xf numFmtId="3" fontId="7" fillId="23" borderId="35" xfId="4" applyNumberFormat="1" applyFont="1" applyFill="1" applyBorder="1" applyAlignment="1">
      <alignment vertical="center" wrapText="1"/>
    </xf>
    <xf numFmtId="0" fontId="4" fillId="23" borderId="35" xfId="4" applyFont="1" applyFill="1" applyBorder="1" applyAlignment="1">
      <alignment vertical="center" wrapText="1"/>
    </xf>
    <xf numFmtId="0" fontId="7" fillId="20" borderId="12" xfId="0" applyFont="1" applyFill="1" applyBorder="1" applyAlignment="1">
      <alignment vertical="center" wrapText="1"/>
    </xf>
    <xf numFmtId="3" fontId="7" fillId="22" borderId="15" xfId="4" applyNumberFormat="1" applyFont="1" applyFill="1" applyBorder="1" applyAlignment="1">
      <alignment vertical="center" wrapText="1"/>
    </xf>
    <xf numFmtId="1" fontId="7" fillId="22" borderId="14" xfId="4" applyNumberFormat="1" applyFont="1" applyFill="1" applyBorder="1" applyAlignment="1">
      <alignment horizontal="center" vertical="center" wrapText="1"/>
    </xf>
    <xf numFmtId="1" fontId="7" fillId="22" borderId="12" xfId="4" applyNumberFormat="1" applyFont="1" applyFill="1" applyBorder="1" applyAlignment="1">
      <alignment horizontal="center" vertical="center" wrapText="1"/>
    </xf>
    <xf numFmtId="1" fontId="7" fillId="22" borderId="15" xfId="4" applyNumberFormat="1" applyFont="1" applyFill="1" applyBorder="1" applyAlignment="1">
      <alignment horizontal="center" vertical="center" wrapText="1"/>
    </xf>
    <xf numFmtId="9" fontId="7" fillId="22" borderId="12" xfId="2" applyNumberFormat="1" applyFont="1" applyFill="1" applyBorder="1" applyAlignment="1">
      <alignment horizontal="center" vertical="center" wrapText="1"/>
    </xf>
    <xf numFmtId="0" fontId="7" fillId="22" borderId="12" xfId="4" applyFont="1" applyFill="1" applyBorder="1" applyAlignment="1">
      <alignment vertical="center" wrapText="1"/>
    </xf>
    <xf numFmtId="0" fontId="7" fillId="22" borderId="15" xfId="4" applyFont="1" applyFill="1" applyBorder="1" applyAlignment="1">
      <alignment vertical="center" wrapText="1"/>
    </xf>
    <xf numFmtId="3" fontId="7" fillId="22" borderId="14" xfId="4" applyNumberFormat="1" applyFont="1" applyFill="1" applyBorder="1" applyAlignment="1">
      <alignment vertical="center" wrapText="1"/>
    </xf>
    <xf numFmtId="3" fontId="7" fillId="22" borderId="12" xfId="4" applyNumberFormat="1" applyFont="1" applyFill="1" applyBorder="1" applyAlignment="1">
      <alignment vertical="center" wrapText="1"/>
    </xf>
    <xf numFmtId="0" fontId="7" fillId="22" borderId="14" xfId="4" applyFont="1" applyFill="1" applyBorder="1" applyAlignment="1">
      <alignment vertical="center" wrapText="1"/>
    </xf>
    <xf numFmtId="14" fontId="7" fillId="22" borderId="14" xfId="4" applyNumberFormat="1" applyFont="1" applyFill="1" applyBorder="1" applyAlignment="1">
      <alignment vertical="center" wrapText="1"/>
    </xf>
    <xf numFmtId="0" fontId="7" fillId="22" borderId="14" xfId="4" applyFont="1" applyFill="1" applyBorder="1" applyAlignment="1">
      <alignment horizontal="center" vertical="center" wrapText="1"/>
    </xf>
    <xf numFmtId="3" fontId="7" fillId="22" borderId="12" xfId="4" applyNumberFormat="1" applyFont="1" applyFill="1" applyBorder="1" applyAlignment="1">
      <alignment horizontal="center" vertical="center" wrapText="1"/>
    </xf>
    <xf numFmtId="3" fontId="7" fillId="22" borderId="7" xfId="4" applyNumberFormat="1" applyFont="1" applyFill="1" applyBorder="1" applyAlignment="1">
      <alignment vertical="center" wrapText="1"/>
    </xf>
    <xf numFmtId="10" fontId="7" fillId="22" borderId="12" xfId="2" applyNumberFormat="1" applyFont="1" applyFill="1" applyBorder="1" applyAlignment="1">
      <alignment horizontal="right" vertical="center" wrapText="1"/>
    </xf>
    <xf numFmtId="10" fontId="7" fillId="22" borderId="12" xfId="2" applyNumberFormat="1" applyFont="1" applyFill="1" applyBorder="1" applyAlignment="1">
      <alignment horizontal="center" vertical="center" wrapText="1"/>
    </xf>
    <xf numFmtId="10" fontId="7" fillId="22" borderId="12" xfId="2" applyNumberFormat="1" applyFont="1" applyFill="1" applyBorder="1" applyAlignment="1">
      <alignment vertical="center" wrapText="1"/>
    </xf>
    <xf numFmtId="9" fontId="7" fillId="22" borderId="12" xfId="2" applyFont="1" applyFill="1" applyBorder="1" applyAlignment="1">
      <alignment horizontal="center" vertical="center" wrapText="1"/>
    </xf>
    <xf numFmtId="0" fontId="39" fillId="51" borderId="0" xfId="0" applyFont="1" applyFill="1" applyBorder="1" applyAlignment="1">
      <alignment horizontal="center" vertical="center" wrapText="1"/>
    </xf>
    <xf numFmtId="9" fontId="39" fillId="51" borderId="9" xfId="0" applyNumberFormat="1" applyFont="1" applyFill="1" applyBorder="1" applyAlignment="1">
      <alignment horizontal="center" vertical="center"/>
    </xf>
    <xf numFmtId="9" fontId="39" fillId="51" borderId="5" xfId="0" applyNumberFormat="1" applyFont="1" applyFill="1" applyBorder="1" applyAlignment="1">
      <alignment horizontal="center" vertical="center"/>
    </xf>
    <xf numFmtId="9" fontId="39" fillId="51" borderId="68" xfId="0" applyNumberFormat="1" applyFont="1" applyFill="1" applyBorder="1" applyAlignment="1">
      <alignment horizontal="center" vertical="center"/>
    </xf>
    <xf numFmtId="9" fontId="39" fillId="52" borderId="68" xfId="0" applyNumberFormat="1" applyFont="1" applyFill="1" applyBorder="1" applyAlignment="1">
      <alignment horizontal="center" vertical="center"/>
    </xf>
    <xf numFmtId="9" fontId="39" fillId="52" borderId="5" xfId="0" applyNumberFormat="1" applyFont="1" applyFill="1" applyBorder="1" applyAlignment="1">
      <alignment horizontal="center" vertical="center"/>
    </xf>
    <xf numFmtId="9" fontId="39" fillId="52" borderId="6" xfId="0" applyNumberFormat="1" applyFont="1" applyFill="1" applyBorder="1" applyAlignment="1">
      <alignment horizontal="center" vertical="center"/>
    </xf>
    <xf numFmtId="171" fontId="25" fillId="51" borderId="6" xfId="0" applyNumberFormat="1" applyFont="1" applyFill="1" applyBorder="1" applyAlignment="1">
      <alignment horizontal="right" vertical="center"/>
    </xf>
    <xf numFmtId="171" fontId="25" fillId="51" borderId="68" xfId="0" applyNumberFormat="1" applyFont="1" applyFill="1" applyBorder="1" applyAlignment="1">
      <alignment horizontal="right" vertical="center"/>
    </xf>
    <xf numFmtId="9" fontId="4" fillId="23" borderId="27" xfId="2" applyFont="1" applyFill="1" applyBorder="1" applyAlignment="1">
      <alignment horizontal="center" vertical="center" wrapText="1"/>
    </xf>
    <xf numFmtId="9" fontId="7" fillId="22" borderId="7" xfId="2" applyFont="1" applyFill="1" applyBorder="1" applyAlignment="1">
      <alignment horizontal="center" vertical="center" wrapText="1"/>
    </xf>
    <xf numFmtId="0" fontId="39" fillId="52" borderId="5" xfId="0" applyFont="1" applyFill="1" applyBorder="1" applyAlignment="1">
      <alignment vertical="center" wrapText="1"/>
    </xf>
    <xf numFmtId="0" fontId="39" fillId="52" borderId="0" xfId="0" applyFont="1" applyFill="1" applyBorder="1" applyAlignment="1">
      <alignment horizontal="center" vertical="center" wrapText="1"/>
    </xf>
    <xf numFmtId="9" fontId="39" fillId="52" borderId="9" xfId="0" applyNumberFormat="1" applyFont="1" applyFill="1" applyBorder="1" applyAlignment="1">
      <alignment horizontal="center" vertical="center"/>
    </xf>
    <xf numFmtId="9" fontId="39" fillId="52" borderId="5" xfId="0" applyNumberFormat="1" applyFont="1" applyFill="1" applyBorder="1" applyAlignment="1">
      <alignment horizontal="center" vertical="center" wrapText="1"/>
    </xf>
    <xf numFmtId="9" fontId="39" fillId="52" borderId="6" xfId="0" applyNumberFormat="1" applyFont="1" applyFill="1" applyBorder="1" applyAlignment="1">
      <alignment horizontal="center" vertical="center" wrapText="1"/>
    </xf>
    <xf numFmtId="171" fontId="4" fillId="52" borderId="6" xfId="0" applyNumberFormat="1" applyFont="1" applyFill="1" applyBorder="1" applyAlignment="1">
      <alignment horizontal="right" vertical="center"/>
    </xf>
    <xf numFmtId="171" fontId="25" fillId="52" borderId="68" xfId="0" applyNumberFormat="1" applyFont="1" applyFill="1" applyBorder="1" applyAlignment="1">
      <alignment horizontal="right" vertical="center"/>
    </xf>
    <xf numFmtId="171" fontId="4" fillId="52" borderId="60" xfId="0" applyNumberFormat="1" applyFont="1" applyFill="1" applyBorder="1" applyAlignment="1">
      <alignment horizontal="right" vertical="center"/>
    </xf>
    <xf numFmtId="10" fontId="4" fillId="23" borderId="5" xfId="2" applyNumberFormat="1" applyFont="1" applyFill="1" applyBorder="1" applyAlignment="1">
      <alignment horizontal="center" vertical="center" wrapText="1"/>
    </xf>
    <xf numFmtId="0" fontId="23" fillId="33" borderId="83" xfId="0" applyFont="1" applyFill="1" applyBorder="1" applyAlignment="1">
      <alignment horizontal="center" vertical="center"/>
    </xf>
    <xf numFmtId="1" fontId="4" fillId="0" borderId="18" xfId="4" applyNumberFormat="1" applyFont="1" applyFill="1" applyBorder="1" applyAlignment="1">
      <alignment horizontal="center" vertical="center" wrapText="1"/>
    </xf>
    <xf numFmtId="170" fontId="4" fillId="0" borderId="32" xfId="2" applyNumberFormat="1" applyFont="1" applyFill="1" applyBorder="1" applyAlignment="1">
      <alignment horizontal="center" vertical="center" wrapText="1"/>
    </xf>
    <xf numFmtId="9" fontId="23" fillId="0" borderId="76" xfId="0" applyNumberFormat="1" applyFont="1" applyFill="1" applyBorder="1" applyAlignment="1">
      <alignment horizontal="center" vertical="center"/>
    </xf>
    <xf numFmtId="171" fontId="23" fillId="52" borderId="84" xfId="0" applyNumberFormat="1" applyFont="1" applyFill="1" applyBorder="1" applyAlignment="1">
      <alignment horizontal="right" vertical="center"/>
    </xf>
    <xf numFmtId="0" fontId="4" fillId="23" borderId="35" xfId="4" applyFont="1" applyFill="1" applyBorder="1" applyAlignment="1">
      <alignment horizontal="center" vertical="center" wrapText="1"/>
    </xf>
    <xf numFmtId="0" fontId="6" fillId="53" borderId="85" xfId="0" applyFont="1" applyFill="1" applyBorder="1" applyAlignment="1">
      <alignment horizontal="center" vertical="center" wrapText="1"/>
    </xf>
    <xf numFmtId="9" fontId="39" fillId="53" borderId="9" xfId="0" applyNumberFormat="1" applyFont="1" applyFill="1" applyBorder="1" applyAlignment="1">
      <alignment horizontal="center" vertical="center"/>
    </xf>
    <xf numFmtId="9" fontId="39" fillId="53" borderId="5" xfId="0" applyNumberFormat="1" applyFont="1" applyFill="1" applyBorder="1" applyAlignment="1">
      <alignment horizontal="center" vertical="center"/>
    </xf>
    <xf numFmtId="9" fontId="39" fillId="53" borderId="68" xfId="0" applyNumberFormat="1" applyFont="1" applyFill="1" applyBorder="1" applyAlignment="1">
      <alignment horizontal="center" vertical="center"/>
    </xf>
    <xf numFmtId="9" fontId="23" fillId="0" borderId="79" xfId="0" applyNumberFormat="1" applyFont="1" applyFill="1" applyBorder="1" applyAlignment="1">
      <alignment horizontal="center" vertical="center"/>
    </xf>
    <xf numFmtId="171" fontId="4" fillId="53" borderId="6" xfId="0" applyNumberFormat="1" applyFont="1" applyFill="1" applyBorder="1" applyAlignment="1">
      <alignment horizontal="right" vertical="center"/>
    </xf>
    <xf numFmtId="9" fontId="7" fillId="22" borderId="14" xfId="2" applyFont="1" applyFill="1" applyBorder="1" applyAlignment="1">
      <alignment horizontal="center" vertical="center" wrapText="1"/>
    </xf>
    <xf numFmtId="9" fontId="7" fillId="22" borderId="14" xfId="2" applyNumberFormat="1" applyFont="1" applyFill="1" applyBorder="1" applyAlignment="1">
      <alignment horizontal="center" vertical="center" wrapText="1"/>
    </xf>
    <xf numFmtId="0" fontId="39" fillId="51" borderId="9" xfId="0" applyFont="1" applyFill="1" applyBorder="1" applyAlignment="1">
      <alignment horizontal="center" vertical="center"/>
    </xf>
    <xf numFmtId="0" fontId="39" fillId="51" borderId="5" xfId="0" applyFont="1" applyFill="1" applyBorder="1" applyAlignment="1">
      <alignment horizontal="center" vertical="center"/>
    </xf>
    <xf numFmtId="0" fontId="39" fillId="51" borderId="68" xfId="0" applyFont="1" applyFill="1" applyBorder="1" applyAlignment="1">
      <alignment horizontal="center" vertical="center"/>
    </xf>
    <xf numFmtId="171" fontId="4" fillId="0" borderId="60" xfId="0" applyNumberFormat="1" applyFont="1" applyFill="1" applyBorder="1" applyAlignment="1">
      <alignment vertical="center"/>
    </xf>
    <xf numFmtId="171" fontId="32" fillId="0" borderId="80" xfId="0" applyNumberFormat="1" applyFont="1" applyFill="1" applyBorder="1" applyAlignment="1">
      <alignment horizontal="right" vertical="center"/>
    </xf>
    <xf numFmtId="171" fontId="4" fillId="51" borderId="32" xfId="0" applyNumberFormat="1" applyFont="1" applyFill="1" applyBorder="1" applyAlignment="1">
      <alignment vertical="center"/>
    </xf>
    <xf numFmtId="3" fontId="4" fillId="22" borderId="15" xfId="4" applyNumberFormat="1" applyFont="1" applyFill="1" applyBorder="1" applyAlignment="1">
      <alignment vertical="center" wrapText="1"/>
    </xf>
    <xf numFmtId="1" fontId="4" fillId="22" borderId="14" xfId="4" applyNumberFormat="1" applyFont="1" applyFill="1" applyBorder="1" applyAlignment="1">
      <alignment horizontal="center" vertical="center" wrapText="1"/>
    </xf>
    <xf numFmtId="1" fontId="4" fillId="22" borderId="12" xfId="4" applyNumberFormat="1" applyFont="1" applyFill="1" applyBorder="1" applyAlignment="1">
      <alignment horizontal="center" vertical="center" wrapText="1"/>
    </xf>
    <xf numFmtId="1" fontId="4" fillId="22" borderId="15" xfId="4" applyNumberFormat="1" applyFont="1" applyFill="1" applyBorder="1" applyAlignment="1">
      <alignment horizontal="center" vertical="center" wrapText="1"/>
    </xf>
    <xf numFmtId="0" fontId="4" fillId="22" borderId="12" xfId="4" applyFont="1" applyFill="1" applyBorder="1" applyAlignment="1">
      <alignment vertical="center" wrapText="1"/>
    </xf>
    <xf numFmtId="0" fontId="4" fillId="22" borderId="15" xfId="4" applyFont="1" applyFill="1" applyBorder="1" applyAlignment="1">
      <alignment vertical="center" wrapText="1"/>
    </xf>
    <xf numFmtId="3" fontId="4" fillId="22" borderId="14" xfId="4" applyNumberFormat="1" applyFont="1" applyFill="1" applyBorder="1" applyAlignment="1">
      <alignment vertical="center" wrapText="1"/>
    </xf>
    <xf numFmtId="3" fontId="4" fillId="22" borderId="12" xfId="4" applyNumberFormat="1" applyFont="1" applyFill="1" applyBorder="1" applyAlignment="1">
      <alignment vertical="center" wrapText="1"/>
    </xf>
    <xf numFmtId="0" fontId="4" fillId="22" borderId="14" xfId="4" applyFont="1" applyFill="1" applyBorder="1" applyAlignment="1">
      <alignment vertical="center" wrapText="1"/>
    </xf>
    <xf numFmtId="14" fontId="4" fillId="22" borderId="14" xfId="4" applyNumberFormat="1" applyFont="1" applyFill="1" applyBorder="1" applyAlignment="1">
      <alignment vertical="center" wrapText="1"/>
    </xf>
    <xf numFmtId="0" fontId="4" fillId="22" borderId="14" xfId="4" applyFont="1" applyFill="1" applyBorder="1" applyAlignment="1">
      <alignment horizontal="center" vertical="center" wrapText="1"/>
    </xf>
    <xf numFmtId="3" fontId="4" fillId="22" borderId="12" xfId="4" applyNumberFormat="1" applyFont="1" applyFill="1" applyBorder="1" applyAlignment="1">
      <alignment horizontal="center" vertical="center" wrapText="1"/>
    </xf>
    <xf numFmtId="10" fontId="4" fillId="22" borderId="12" xfId="2" applyNumberFormat="1" applyFont="1" applyFill="1" applyBorder="1" applyAlignment="1">
      <alignment vertical="center" wrapText="1"/>
    </xf>
    <xf numFmtId="0" fontId="4" fillId="22" borderId="7" xfId="4" applyFont="1" applyFill="1" applyBorder="1" applyAlignment="1">
      <alignment vertical="center" wrapText="1"/>
    </xf>
    <xf numFmtId="10" fontId="4" fillId="22" borderId="12" xfId="2" applyNumberFormat="1" applyFont="1" applyFill="1" applyBorder="1" applyAlignment="1">
      <alignment horizontal="center" vertical="center" wrapText="1"/>
    </xf>
    <xf numFmtId="4" fontId="7" fillId="22" borderId="7" xfId="4" applyNumberFormat="1" applyFont="1" applyFill="1" applyBorder="1" applyAlignment="1">
      <alignment vertical="center" wrapText="1"/>
    </xf>
    <xf numFmtId="9" fontId="39" fillId="51" borderId="86" xfId="0" applyNumberFormat="1" applyFont="1" applyFill="1" applyBorder="1" applyAlignment="1">
      <alignment horizontal="center" vertical="center"/>
    </xf>
    <xf numFmtId="0" fontId="39" fillId="52" borderId="9" xfId="0" applyFont="1" applyFill="1" applyBorder="1" applyAlignment="1">
      <alignment horizontal="center" vertical="center"/>
    </xf>
    <xf numFmtId="0" fontId="39" fillId="52" borderId="5" xfId="0" applyFont="1" applyFill="1" applyBorder="1" applyAlignment="1">
      <alignment horizontal="center" vertical="center"/>
    </xf>
    <xf numFmtId="0" fontId="39" fillId="52" borderId="64" xfId="0" applyFont="1" applyFill="1" applyBorder="1" applyAlignment="1">
      <alignment horizontal="center" vertical="center"/>
    </xf>
    <xf numFmtId="0" fontId="39" fillId="49" borderId="5" xfId="0" applyFont="1" applyFill="1" applyBorder="1" applyAlignment="1">
      <alignment vertical="center" wrapText="1"/>
    </xf>
    <xf numFmtId="0" fontId="39" fillId="49" borderId="0" xfId="0" applyFont="1" applyFill="1" applyBorder="1" applyAlignment="1">
      <alignment horizontal="center" vertical="center" wrapText="1"/>
    </xf>
    <xf numFmtId="0" fontId="39" fillId="49" borderId="9" xfId="0" applyFont="1" applyFill="1" applyBorder="1" applyAlignment="1">
      <alignment horizontal="center" vertical="center"/>
    </xf>
    <xf numFmtId="0" fontId="39" fillId="49" borderId="5" xfId="0" applyFont="1" applyFill="1" applyBorder="1" applyAlignment="1">
      <alignment horizontal="center" vertical="center"/>
    </xf>
    <xf numFmtId="0" fontId="39" fillId="49" borderId="68" xfId="0" applyFont="1" applyFill="1" applyBorder="1" applyAlignment="1">
      <alignment horizontal="center" vertical="center"/>
    </xf>
    <xf numFmtId="171" fontId="25" fillId="49" borderId="6" xfId="0" applyNumberFormat="1" applyFont="1" applyFill="1" applyBorder="1" applyAlignment="1">
      <alignment horizontal="right" vertical="center"/>
    </xf>
    <xf numFmtId="171" fontId="25" fillId="49" borderId="68" xfId="0" applyNumberFormat="1" applyFont="1" applyFill="1" applyBorder="1" applyAlignment="1">
      <alignment horizontal="right" vertical="center"/>
    </xf>
    <xf numFmtId="0" fontId="25" fillId="49" borderId="6" xfId="0" applyFont="1" applyFill="1" applyBorder="1" applyAlignment="1">
      <alignment horizontal="right" vertical="center"/>
    </xf>
    <xf numFmtId="3" fontId="4" fillId="23" borderId="5" xfId="4" applyNumberFormat="1" applyFont="1" applyFill="1" applyBorder="1" applyAlignment="1">
      <alignment horizontal="center" vertical="center" wrapText="1"/>
    </xf>
    <xf numFmtId="0" fontId="7" fillId="20" borderId="32" xfId="0" applyFont="1" applyFill="1" applyBorder="1" applyAlignment="1">
      <alignment vertical="center" wrapText="1"/>
    </xf>
    <xf numFmtId="1" fontId="7" fillId="22" borderId="31" xfId="4" applyNumberFormat="1" applyFont="1" applyFill="1" applyBorder="1" applyAlignment="1">
      <alignment horizontal="center" vertical="center" wrapText="1"/>
    </xf>
    <xf numFmtId="1" fontId="7" fillId="22" borderId="32" xfId="4" applyNumberFormat="1" applyFont="1" applyFill="1" applyBorder="1" applyAlignment="1">
      <alignment horizontal="center" vertical="center" wrapText="1"/>
    </xf>
    <xf numFmtId="1" fontId="7" fillId="22" borderId="18" xfId="4" applyNumberFormat="1" applyFont="1" applyFill="1" applyBorder="1" applyAlignment="1">
      <alignment horizontal="center" vertical="center" wrapText="1"/>
    </xf>
    <xf numFmtId="9" fontId="7" fillId="22" borderId="32" xfId="2" applyNumberFormat="1" applyFont="1" applyFill="1" applyBorder="1" applyAlignment="1">
      <alignment horizontal="center" vertical="center" wrapText="1"/>
    </xf>
    <xf numFmtId="14" fontId="7" fillId="22" borderId="31" xfId="4" applyNumberFormat="1" applyFont="1" applyFill="1" applyBorder="1" applyAlignment="1">
      <alignment vertical="center" wrapText="1"/>
    </xf>
    <xf numFmtId="9" fontId="7" fillId="22" borderId="32" xfId="2" applyFont="1" applyFill="1" applyBorder="1" applyAlignment="1">
      <alignment horizontal="center" vertical="center" wrapText="1"/>
    </xf>
    <xf numFmtId="9" fontId="7" fillId="22" borderId="60" xfId="2" applyFont="1" applyFill="1" applyBorder="1" applyAlignment="1">
      <alignment horizontal="center" vertical="center" wrapText="1"/>
    </xf>
    <xf numFmtId="3" fontId="7" fillId="22" borderId="60" xfId="4" applyNumberFormat="1" applyFont="1" applyFill="1" applyBorder="1" applyAlignment="1">
      <alignment vertical="center" wrapText="1"/>
    </xf>
    <xf numFmtId="10" fontId="7" fillId="22" borderId="32" xfId="2" applyNumberFormat="1" applyFont="1" applyFill="1" applyBorder="1" applyAlignment="1">
      <alignment horizontal="right" vertical="center" wrapText="1"/>
    </xf>
    <xf numFmtId="10" fontId="7" fillId="22" borderId="5" xfId="2" applyNumberFormat="1" applyFont="1" applyFill="1" applyBorder="1" applyAlignment="1">
      <alignment vertical="center" wrapText="1"/>
    </xf>
    <xf numFmtId="1" fontId="4" fillId="0" borderId="19" xfId="4" applyNumberFormat="1" applyFont="1" applyFill="1" applyBorder="1" applyAlignment="1">
      <alignment horizontal="center" vertical="center" wrapText="1"/>
    </xf>
    <xf numFmtId="1" fontId="4" fillId="0" borderId="27" xfId="4" applyNumberFormat="1" applyFont="1" applyFill="1" applyBorder="1" applyAlignment="1">
      <alignment horizontal="center" vertical="center" wrapText="1"/>
    </xf>
    <xf numFmtId="9" fontId="4" fillId="0" borderId="35" xfId="2" applyFont="1" applyFill="1" applyBorder="1" applyAlignment="1">
      <alignment horizontal="center" vertical="center" wrapText="1"/>
    </xf>
    <xf numFmtId="10" fontId="4" fillId="0" borderId="35" xfId="2" applyNumberFormat="1" applyFont="1" applyFill="1" applyBorder="1" applyAlignment="1">
      <alignment horizontal="center" vertical="center" wrapText="1"/>
    </xf>
    <xf numFmtId="0" fontId="7" fillId="0" borderId="27"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4" fillId="0" borderId="9" xfId="4" applyFont="1" applyFill="1" applyBorder="1" applyAlignment="1">
      <alignment vertical="center" wrapText="1"/>
    </xf>
    <xf numFmtId="14" fontId="4" fillId="0" borderId="27" xfId="4" applyNumberFormat="1" applyFont="1" applyFill="1" applyBorder="1" applyAlignment="1">
      <alignment vertical="center" wrapText="1"/>
    </xf>
    <xf numFmtId="0" fontId="4" fillId="0" borderId="9" xfId="4" applyFont="1" applyFill="1" applyBorder="1" applyAlignment="1">
      <alignment horizontal="center" vertical="center" wrapText="1"/>
    </xf>
    <xf numFmtId="3" fontId="4" fillId="0" borderId="35" xfId="4" applyNumberFormat="1" applyFont="1" applyFill="1" applyBorder="1" applyAlignment="1">
      <alignment horizontal="center" vertical="center" wrapText="1"/>
    </xf>
    <xf numFmtId="9" fontId="4" fillId="0" borderId="58" xfId="2" applyFont="1" applyFill="1" applyBorder="1" applyAlignment="1">
      <alignment horizontal="center" vertical="center" wrapText="1"/>
    </xf>
    <xf numFmtId="10" fontId="4" fillId="0" borderId="35" xfId="2" applyNumberFormat="1" applyFont="1" applyFill="1" applyBorder="1" applyAlignment="1">
      <alignment horizontal="right" vertical="center" wrapText="1"/>
    </xf>
    <xf numFmtId="3" fontId="4" fillId="0" borderId="5" xfId="4" applyNumberFormat="1" applyFont="1" applyFill="1" applyBorder="1" applyAlignment="1">
      <alignment horizontal="center" vertical="center" wrapText="1"/>
    </xf>
    <xf numFmtId="171" fontId="6" fillId="0" borderId="65" xfId="0" applyNumberFormat="1" applyFont="1" applyFill="1" applyBorder="1" applyAlignment="1">
      <alignment horizontal="right" vertical="center"/>
    </xf>
    <xf numFmtId="3" fontId="7" fillId="0" borderId="9" xfId="4" applyNumberFormat="1" applyFont="1" applyFill="1" applyBorder="1" applyAlignment="1">
      <alignment vertical="center" wrapText="1"/>
    </xf>
    <xf numFmtId="0" fontId="4" fillId="21" borderId="12" xfId="0" applyFont="1" applyFill="1" applyBorder="1" applyAlignment="1">
      <alignment vertical="center" wrapText="1"/>
    </xf>
    <xf numFmtId="3" fontId="4" fillId="23" borderId="15" xfId="4" applyNumberFormat="1" applyFont="1" applyFill="1" applyBorder="1" applyAlignment="1">
      <alignment vertical="center" wrapText="1"/>
    </xf>
    <xf numFmtId="1" fontId="4" fillId="23" borderId="14" xfId="4" applyNumberFormat="1" applyFont="1" applyFill="1" applyBorder="1" applyAlignment="1">
      <alignment horizontal="center" vertical="center" wrapText="1"/>
    </xf>
    <xf numFmtId="1" fontId="4" fillId="23" borderId="12" xfId="4" applyNumberFormat="1" applyFont="1" applyFill="1" applyBorder="1" applyAlignment="1">
      <alignment horizontal="center" vertical="center" wrapText="1"/>
    </xf>
    <xf numFmtId="1" fontId="4" fillId="23" borderId="15" xfId="4" applyNumberFormat="1" applyFont="1" applyFill="1" applyBorder="1" applyAlignment="1">
      <alignment horizontal="center" vertical="center" wrapText="1"/>
    </xf>
    <xf numFmtId="9" fontId="4" fillId="23" borderId="12" xfId="2" applyFont="1" applyFill="1" applyBorder="1" applyAlignment="1">
      <alignment horizontal="center" vertical="center" wrapText="1"/>
    </xf>
    <xf numFmtId="10" fontId="4" fillId="23" borderId="12" xfId="2" applyNumberFormat="1" applyFont="1" applyFill="1" applyBorder="1" applyAlignment="1">
      <alignment horizontal="center" vertical="center" wrapText="1"/>
    </xf>
    <xf numFmtId="3" fontId="4" fillId="23" borderId="14" xfId="4" applyNumberFormat="1" applyFont="1" applyFill="1" applyBorder="1" applyAlignment="1">
      <alignment vertical="center" wrapText="1"/>
    </xf>
    <xf numFmtId="3" fontId="4" fillId="23" borderId="12" xfId="4" applyNumberFormat="1" applyFont="1" applyFill="1" applyBorder="1" applyAlignment="1">
      <alignment vertical="center" wrapText="1"/>
    </xf>
    <xf numFmtId="0" fontId="4" fillId="23" borderId="14" xfId="4" applyFont="1" applyFill="1" applyBorder="1" applyAlignment="1">
      <alignment vertical="center" wrapText="1"/>
    </xf>
    <xf numFmtId="14" fontId="4" fillId="23" borderId="14" xfId="4" applyNumberFormat="1" applyFont="1" applyFill="1" applyBorder="1" applyAlignment="1">
      <alignment vertical="center" wrapText="1"/>
    </xf>
    <xf numFmtId="0" fontId="4" fillId="23" borderId="14" xfId="4" applyFont="1" applyFill="1" applyBorder="1" applyAlignment="1">
      <alignment horizontal="center" vertical="center" wrapText="1"/>
    </xf>
    <xf numFmtId="3" fontId="4" fillId="23" borderId="12" xfId="4" applyNumberFormat="1" applyFont="1" applyFill="1" applyBorder="1" applyAlignment="1">
      <alignment horizontal="center" vertical="center" wrapText="1"/>
    </xf>
    <xf numFmtId="9" fontId="4" fillId="23" borderId="14" xfId="2" applyFont="1" applyFill="1" applyBorder="1" applyAlignment="1">
      <alignment horizontal="center" vertical="center" wrapText="1"/>
    </xf>
    <xf numFmtId="9" fontId="4" fillId="23" borderId="7" xfId="2" applyFont="1" applyFill="1" applyBorder="1" applyAlignment="1">
      <alignment horizontal="center" vertical="center" wrapText="1"/>
    </xf>
    <xf numFmtId="3" fontId="4" fillId="23" borderId="7" xfId="4" applyNumberFormat="1" applyFont="1" applyFill="1" applyBorder="1" applyAlignment="1">
      <alignment vertical="center" wrapText="1"/>
    </xf>
    <xf numFmtId="10" fontId="4" fillId="23" borderId="12" xfId="2" applyNumberFormat="1" applyFont="1" applyFill="1" applyBorder="1" applyAlignment="1">
      <alignment horizontal="right" vertical="center" wrapText="1"/>
    </xf>
    <xf numFmtId="3" fontId="7" fillId="23" borderId="7" xfId="4" applyNumberFormat="1" applyFont="1" applyFill="1" applyBorder="1" applyAlignment="1">
      <alignment vertical="center" wrapText="1"/>
    </xf>
    <xf numFmtId="10" fontId="4" fillId="23" borderId="12" xfId="2" applyNumberFormat="1" applyFont="1" applyFill="1" applyBorder="1" applyAlignment="1">
      <alignment vertical="center" wrapText="1"/>
    </xf>
    <xf numFmtId="3" fontId="7" fillId="23" borderId="14" xfId="4" applyNumberFormat="1" applyFont="1" applyFill="1" applyBorder="1" applyAlignment="1">
      <alignment vertical="center" wrapText="1"/>
    </xf>
    <xf numFmtId="0" fontId="39" fillId="48" borderId="5" xfId="0" applyFont="1" applyFill="1" applyBorder="1" applyAlignment="1">
      <alignment vertical="center" wrapText="1"/>
    </xf>
    <xf numFmtId="0" fontId="39" fillId="48" borderId="0" xfId="0" applyFont="1" applyFill="1" applyBorder="1" applyAlignment="1">
      <alignment horizontal="center" vertical="center" wrapText="1"/>
    </xf>
    <xf numFmtId="0" fontId="39" fillId="48" borderId="9" xfId="0" applyFont="1" applyFill="1" applyBorder="1" applyAlignment="1">
      <alignment horizontal="center" vertical="center"/>
    </xf>
    <xf numFmtId="0" fontId="39" fillId="48" borderId="5" xfId="0" applyFont="1" applyFill="1" applyBorder="1" applyAlignment="1">
      <alignment horizontal="center" vertical="center"/>
    </xf>
    <xf numFmtId="0" fontId="39" fillId="48" borderId="68" xfId="0" applyFont="1" applyFill="1" applyBorder="1" applyAlignment="1">
      <alignment horizontal="center" vertical="center"/>
    </xf>
    <xf numFmtId="0" fontId="39" fillId="48" borderId="64" xfId="0" applyFont="1" applyFill="1" applyBorder="1" applyAlignment="1">
      <alignment horizontal="center" vertical="center"/>
    </xf>
    <xf numFmtId="9" fontId="39" fillId="48" borderId="5" xfId="0" applyNumberFormat="1" applyFont="1" applyFill="1" applyBorder="1" applyAlignment="1">
      <alignment horizontal="center" vertical="center" wrapText="1"/>
    </xf>
    <xf numFmtId="171" fontId="25" fillId="48" borderId="6" xfId="0" applyNumberFormat="1" applyFont="1" applyFill="1" applyBorder="1" applyAlignment="1">
      <alignment horizontal="right" vertical="center"/>
    </xf>
    <xf numFmtId="171" fontId="25" fillId="48" borderId="68" xfId="0" applyNumberFormat="1" applyFont="1" applyFill="1" applyBorder="1" applyAlignment="1">
      <alignment horizontal="right" vertical="center"/>
    </xf>
    <xf numFmtId="0" fontId="23" fillId="31" borderId="75" xfId="0" applyFont="1" applyFill="1" applyBorder="1" applyAlignment="1">
      <alignment horizontal="center" vertical="center"/>
    </xf>
    <xf numFmtId="10" fontId="4" fillId="0" borderId="5" xfId="2" applyNumberFormat="1" applyFont="1" applyFill="1" applyBorder="1" applyAlignment="1">
      <alignment horizontal="center" vertical="center" wrapText="1"/>
    </xf>
    <xf numFmtId="3" fontId="7" fillId="0" borderId="19" xfId="4" applyNumberFormat="1" applyFont="1" applyFill="1" applyBorder="1" applyAlignment="1">
      <alignment vertical="center" wrapText="1"/>
    </xf>
    <xf numFmtId="0" fontId="4" fillId="23" borderId="12" xfId="4" applyFont="1" applyFill="1" applyBorder="1" applyAlignment="1">
      <alignment horizontal="center" vertical="center" wrapText="1"/>
    </xf>
    <xf numFmtId="0" fontId="39" fillId="50" borderId="0" xfId="0" applyFont="1" applyFill="1" applyBorder="1" applyAlignment="1">
      <alignment horizontal="center" vertical="center" wrapText="1"/>
    </xf>
    <xf numFmtId="0" fontId="23" fillId="31" borderId="9" xfId="0" applyFont="1" applyFill="1" applyBorder="1" applyAlignment="1">
      <alignment horizontal="center" vertical="center"/>
    </xf>
    <xf numFmtId="0" fontId="23" fillId="31" borderId="5" xfId="0" applyFont="1" applyFill="1" applyBorder="1" applyAlignment="1">
      <alignment horizontal="center" vertical="center"/>
    </xf>
    <xf numFmtId="1" fontId="4" fillId="0" borderId="0" xfId="4" applyNumberFormat="1" applyFont="1" applyFill="1" applyBorder="1" applyAlignment="1">
      <alignment horizontal="center" vertical="center" wrapText="1"/>
    </xf>
    <xf numFmtId="1" fontId="4" fillId="0" borderId="9" xfId="4" applyNumberFormat="1" applyFont="1" applyFill="1" applyBorder="1" applyAlignment="1">
      <alignment horizontal="center" vertical="center" wrapText="1"/>
    </xf>
    <xf numFmtId="9" fontId="4" fillId="0" borderId="5" xfId="2" applyFont="1" applyFill="1" applyBorder="1" applyAlignment="1">
      <alignment horizontal="center" vertical="center" wrapText="1"/>
    </xf>
    <xf numFmtId="0" fontId="7" fillId="0" borderId="9" xfId="4" applyFont="1" applyFill="1" applyBorder="1" applyAlignment="1">
      <alignment horizontal="center" vertical="center" wrapText="1"/>
    </xf>
    <xf numFmtId="0" fontId="4" fillId="0" borderId="5" xfId="4" applyFont="1" applyFill="1" applyBorder="1" applyAlignment="1">
      <alignment horizontal="center" vertical="center" wrapText="1"/>
    </xf>
    <xf numFmtId="3" fontId="4" fillId="0" borderId="0" xfId="4" applyNumberFormat="1" applyFont="1" applyFill="1" applyBorder="1" applyAlignment="1">
      <alignment vertical="center" wrapText="1"/>
    </xf>
    <xf numFmtId="14" fontId="4" fillId="0" borderId="9" xfId="4" applyNumberFormat="1" applyFont="1" applyFill="1" applyBorder="1" applyAlignment="1">
      <alignment vertical="center" wrapText="1"/>
    </xf>
    <xf numFmtId="9" fontId="39" fillId="48" borderId="5" xfId="0" applyNumberFormat="1" applyFont="1" applyFill="1" applyBorder="1" applyAlignment="1">
      <alignment horizontal="center" vertical="center"/>
    </xf>
    <xf numFmtId="9" fontId="39" fillId="48" borderId="6" xfId="0" applyNumberFormat="1" applyFont="1" applyFill="1" applyBorder="1" applyAlignment="1">
      <alignment horizontal="center" vertical="center"/>
    </xf>
    <xf numFmtId="171" fontId="25" fillId="50" borderId="6" xfId="0" applyNumberFormat="1" applyFont="1" applyFill="1" applyBorder="1" applyAlignment="1">
      <alignment horizontal="right" vertical="center"/>
    </xf>
    <xf numFmtId="10" fontId="4" fillId="0" borderId="5" xfId="2" applyNumberFormat="1" applyFont="1" applyFill="1" applyBorder="1" applyAlignment="1">
      <alignment horizontal="right" vertical="center" wrapText="1"/>
    </xf>
    <xf numFmtId="3" fontId="7" fillId="0" borderId="0" xfId="4" applyNumberFormat="1" applyFont="1" applyFill="1" applyBorder="1" applyAlignment="1">
      <alignment vertical="center" wrapText="1"/>
    </xf>
    <xf numFmtId="171" fontId="6" fillId="0" borderId="64" xfId="0" applyNumberFormat="1" applyFont="1" applyFill="1" applyBorder="1" applyAlignment="1">
      <alignment horizontal="right" vertical="center"/>
    </xf>
    <xf numFmtId="3" fontId="4" fillId="0" borderId="5" xfId="4" applyNumberFormat="1" applyFont="1" applyFill="1" applyBorder="1" applyAlignment="1">
      <alignment vertical="center" wrapText="1"/>
    </xf>
    <xf numFmtId="9" fontId="4" fillId="0" borderId="27" xfId="2" applyFont="1" applyFill="1" applyBorder="1" applyAlignment="1">
      <alignment horizontal="center" vertical="center" wrapText="1"/>
    </xf>
    <xf numFmtId="171" fontId="4" fillId="48" borderId="58" xfId="0" applyNumberFormat="1" applyFont="1" applyFill="1" applyBorder="1" applyAlignment="1">
      <alignment vertical="center"/>
    </xf>
    <xf numFmtId="0" fontId="6" fillId="49" borderId="76" xfId="0" applyFont="1" applyFill="1" applyBorder="1" applyAlignment="1">
      <alignment horizontal="left" vertical="center" wrapText="1"/>
    </xf>
    <xf numFmtId="171" fontId="25" fillId="49" borderId="79" xfId="0" applyNumberFormat="1" applyFont="1" applyFill="1" applyBorder="1" applyAlignment="1">
      <alignment horizontal="right" vertical="center"/>
    </xf>
    <xf numFmtId="0" fontId="25" fillId="49" borderId="68" xfId="0" applyFont="1" applyFill="1" applyBorder="1" applyAlignment="1">
      <alignment horizontal="right" vertical="center"/>
    </xf>
    <xf numFmtId="171" fontId="23" fillId="49" borderId="79" xfId="0" applyNumberFormat="1" applyFont="1" applyFill="1" applyBorder="1" applyAlignment="1">
      <alignment horizontal="right" vertical="center"/>
    </xf>
    <xf numFmtId="0" fontId="6" fillId="50" borderId="0" xfId="0" applyFont="1" applyFill="1" applyBorder="1" applyAlignment="1">
      <alignment horizontal="center" vertical="center" wrapText="1"/>
    </xf>
    <xf numFmtId="0" fontId="23" fillId="31" borderId="83" xfId="0" applyFont="1" applyFill="1" applyBorder="1" applyAlignment="1">
      <alignment horizontal="center" vertical="center"/>
    </xf>
    <xf numFmtId="0" fontId="23" fillId="31" borderId="76" xfId="0" applyFont="1" applyFill="1" applyBorder="1" applyAlignment="1">
      <alignment horizontal="center" vertical="center"/>
    </xf>
    <xf numFmtId="170" fontId="4" fillId="0" borderId="0" xfId="2" applyNumberFormat="1" applyFont="1" applyFill="1" applyBorder="1" applyAlignment="1">
      <alignment horizontal="center" vertical="center" wrapText="1"/>
    </xf>
    <xf numFmtId="171" fontId="25" fillId="50" borderId="68" xfId="0" applyNumberFormat="1" applyFont="1" applyFill="1" applyBorder="1" applyAlignment="1">
      <alignment horizontal="right" vertical="center"/>
    </xf>
    <xf numFmtId="0" fontId="23" fillId="31" borderId="19" xfId="0" applyFont="1" applyFill="1" applyBorder="1" applyAlignment="1">
      <alignment horizontal="center" vertical="center" wrapText="1"/>
    </xf>
    <xf numFmtId="171" fontId="23" fillId="49" borderId="78" xfId="0" applyNumberFormat="1" applyFont="1" applyFill="1" applyBorder="1" applyAlignment="1">
      <alignment horizontal="right" vertical="center"/>
    </xf>
    <xf numFmtId="9" fontId="23" fillId="0" borderId="5" xfId="0" applyNumberFormat="1" applyFont="1" applyFill="1" applyBorder="1" applyAlignment="1">
      <alignment horizontal="center" vertical="center"/>
    </xf>
    <xf numFmtId="9" fontId="4" fillId="0" borderId="6" xfId="2" applyFont="1" applyFill="1" applyBorder="1" applyAlignment="1">
      <alignment horizontal="center" vertical="center" wrapText="1"/>
    </xf>
    <xf numFmtId="9" fontId="4" fillId="23" borderId="12" xfId="2" applyNumberFormat="1" applyFont="1" applyFill="1" applyBorder="1" applyAlignment="1">
      <alignment horizontal="center" vertical="center" wrapText="1"/>
    </xf>
    <xf numFmtId="171" fontId="6" fillId="0" borderId="84" xfId="0" applyNumberFormat="1" applyFont="1" applyFill="1" applyBorder="1" applyAlignment="1">
      <alignment horizontal="right" vertical="center"/>
    </xf>
    <xf numFmtId="171" fontId="6" fillId="0" borderId="79" xfId="0" applyNumberFormat="1" applyFont="1" applyFill="1" applyBorder="1" applyAlignment="1">
      <alignment horizontal="right" vertical="center"/>
    </xf>
    <xf numFmtId="171" fontId="6" fillId="0" borderId="68" xfId="0" applyNumberFormat="1" applyFont="1" applyFill="1" applyBorder="1" applyAlignment="1">
      <alignment horizontal="right" vertical="center"/>
    </xf>
    <xf numFmtId="0" fontId="23" fillId="32" borderId="76" xfId="0" applyFont="1" applyFill="1" applyBorder="1" applyAlignment="1">
      <alignment horizontal="center" vertical="center"/>
    </xf>
    <xf numFmtId="0" fontId="25" fillId="48" borderId="68" xfId="0" applyFont="1" applyFill="1" applyBorder="1" applyAlignment="1">
      <alignment horizontal="right" vertical="center"/>
    </xf>
    <xf numFmtId="171" fontId="6" fillId="0" borderId="6" xfId="0" applyNumberFormat="1" applyFont="1" applyFill="1" applyBorder="1" applyAlignment="1">
      <alignment horizontal="right" vertical="center"/>
    </xf>
    <xf numFmtId="0" fontId="23" fillId="32" borderId="79" xfId="0" applyFont="1" applyFill="1" applyBorder="1" applyAlignment="1">
      <alignment horizontal="center" vertical="center"/>
    </xf>
    <xf numFmtId="0" fontId="25" fillId="48" borderId="6" xfId="0" applyFont="1" applyFill="1" applyBorder="1" applyAlignment="1">
      <alignment horizontal="right" vertical="center"/>
    </xf>
    <xf numFmtId="0" fontId="23" fillId="32" borderId="5" xfId="0" applyFont="1" applyFill="1" applyBorder="1" applyAlignment="1">
      <alignment horizontal="center" vertical="center"/>
    </xf>
    <xf numFmtId="3" fontId="4" fillId="0" borderId="9" xfId="4" applyNumberFormat="1" applyFont="1" applyFill="1" applyBorder="1" applyAlignment="1">
      <alignment horizontal="center" vertical="center" wrapText="1"/>
    </xf>
    <xf numFmtId="0" fontId="23" fillId="32" borderId="72" xfId="0" applyFont="1" applyFill="1" applyBorder="1" applyAlignment="1">
      <alignment horizontal="center" vertical="center"/>
    </xf>
    <xf numFmtId="0" fontId="23" fillId="32" borderId="78" xfId="0" applyFont="1" applyFill="1" applyBorder="1" applyAlignment="1">
      <alignment horizontal="center" vertical="center"/>
    </xf>
    <xf numFmtId="9" fontId="23" fillId="0" borderId="72" xfId="0" applyNumberFormat="1" applyFont="1" applyFill="1" applyBorder="1" applyAlignment="1">
      <alignment horizontal="center" vertical="center"/>
    </xf>
    <xf numFmtId="0" fontId="23" fillId="30" borderId="83" xfId="0" applyFont="1" applyFill="1" applyBorder="1" applyAlignment="1">
      <alignment horizontal="center" vertical="center"/>
    </xf>
    <xf numFmtId="0" fontId="23" fillId="29" borderId="76" xfId="0" applyFont="1" applyFill="1" applyBorder="1" applyAlignment="1">
      <alignment horizontal="center" vertical="center"/>
    </xf>
    <xf numFmtId="0" fontId="23" fillId="32" borderId="75" xfId="0" applyFont="1" applyFill="1" applyBorder="1" applyAlignment="1">
      <alignment horizontal="center" vertical="center"/>
    </xf>
    <xf numFmtId="3" fontId="4" fillId="0" borderId="9" xfId="4" applyNumberFormat="1" applyFont="1" applyFill="1" applyBorder="1" applyAlignment="1">
      <alignment vertical="center" wrapText="1"/>
    </xf>
    <xf numFmtId="0" fontId="32" fillId="49" borderId="66" xfId="0" applyFont="1" applyFill="1" applyBorder="1" applyAlignment="1">
      <alignment horizontal="center" vertical="center" wrapText="1"/>
    </xf>
    <xf numFmtId="3" fontId="4" fillId="23" borderId="14" xfId="4" applyNumberFormat="1" applyFont="1" applyFill="1" applyBorder="1" applyAlignment="1">
      <alignment horizontal="center" vertical="center" wrapText="1"/>
    </xf>
    <xf numFmtId="0" fontId="23" fillId="32" borderId="0" xfId="0" applyFont="1" applyFill="1" applyBorder="1" applyAlignment="1">
      <alignment horizontal="center" vertical="center" wrapText="1"/>
    </xf>
    <xf numFmtId="0" fontId="23" fillId="30" borderId="9" xfId="0" applyFont="1" applyFill="1" applyBorder="1" applyAlignment="1">
      <alignment horizontal="center" vertical="center"/>
    </xf>
    <xf numFmtId="0" fontId="23" fillId="29" borderId="5" xfId="0" applyFont="1" applyFill="1" applyBorder="1" applyAlignment="1">
      <alignment horizontal="center" vertical="center"/>
    </xf>
    <xf numFmtId="171" fontId="44" fillId="48" borderId="6" xfId="0" applyNumberFormat="1" applyFont="1" applyFill="1" applyBorder="1" applyAlignment="1">
      <alignment horizontal="right" vertical="center"/>
    </xf>
    <xf numFmtId="171" fontId="44" fillId="48" borderId="68" xfId="0" applyNumberFormat="1" applyFont="1" applyFill="1" applyBorder="1" applyAlignment="1">
      <alignment horizontal="right" vertical="center"/>
    </xf>
    <xf numFmtId="0" fontId="23" fillId="30" borderId="19" xfId="0" applyFont="1" applyFill="1" applyBorder="1" applyAlignment="1">
      <alignment horizontal="center" vertical="center" wrapText="1"/>
    </xf>
    <xf numFmtId="171" fontId="42" fillId="0" borderId="65" xfId="0" applyNumberFormat="1" applyFont="1" applyFill="1" applyBorder="1" applyAlignment="1">
      <alignment horizontal="right" vertical="center"/>
    </xf>
    <xf numFmtId="4" fontId="4" fillId="23" borderId="7" xfId="4" applyNumberFormat="1" applyFont="1" applyFill="1" applyBorder="1" applyAlignment="1">
      <alignment vertical="center" wrapText="1"/>
    </xf>
    <xf numFmtId="0" fontId="6" fillId="43" borderId="0" xfId="0" applyFont="1" applyFill="1" applyBorder="1" applyAlignment="1">
      <alignment horizontal="center" vertical="center" wrapText="1"/>
    </xf>
    <xf numFmtId="171" fontId="44" fillId="43" borderId="6" xfId="0" applyNumberFormat="1" applyFont="1" applyFill="1" applyBorder="1" applyAlignment="1">
      <alignment horizontal="right" vertical="center"/>
    </xf>
    <xf numFmtId="170" fontId="7" fillId="22" borderId="12" xfId="2" applyNumberFormat="1" applyFont="1" applyFill="1" applyBorder="1" applyAlignment="1">
      <alignment horizontal="center" vertical="center" wrapText="1"/>
    </xf>
    <xf numFmtId="3" fontId="7" fillId="22" borderId="14" xfId="4" applyNumberFormat="1" applyFont="1" applyFill="1" applyBorder="1" applyAlignment="1">
      <alignment horizontal="center" vertical="center" wrapText="1"/>
    </xf>
    <xf numFmtId="170" fontId="7" fillId="22" borderId="14" xfId="2" applyNumberFormat="1" applyFont="1" applyFill="1" applyBorder="1" applyAlignment="1">
      <alignment horizontal="center" vertical="center" wrapText="1"/>
    </xf>
    <xf numFmtId="0" fontId="23" fillId="30" borderId="75" xfId="0" applyFont="1" applyFill="1" applyBorder="1" applyAlignment="1">
      <alignment horizontal="center" vertical="center"/>
    </xf>
    <xf numFmtId="0" fontId="23" fillId="29" borderId="72" xfId="0" applyFont="1" applyFill="1" applyBorder="1" applyAlignment="1">
      <alignment horizontal="center" vertical="center"/>
    </xf>
    <xf numFmtId="171" fontId="44" fillId="44" borderId="6" xfId="0" applyNumberFormat="1" applyFont="1" applyFill="1" applyBorder="1" applyAlignment="1">
      <alignment horizontal="right" vertical="center"/>
    </xf>
    <xf numFmtId="171" fontId="44" fillId="44" borderId="68" xfId="0" applyNumberFormat="1" applyFont="1" applyFill="1" applyBorder="1" applyAlignment="1">
      <alignment horizontal="right" vertical="center"/>
    </xf>
    <xf numFmtId="0" fontId="39" fillId="46" borderId="76" xfId="0" applyFont="1" applyFill="1" applyBorder="1" applyAlignment="1">
      <alignment horizontal="left" vertical="center" wrapText="1"/>
    </xf>
    <xf numFmtId="0" fontId="39" fillId="46" borderId="9" xfId="0" applyFont="1" applyFill="1" applyBorder="1" applyAlignment="1">
      <alignment horizontal="center" vertical="center"/>
    </xf>
    <xf numFmtId="0" fontId="39" fillId="46" borderId="5" xfId="0" applyFont="1" applyFill="1" applyBorder="1" applyAlignment="1">
      <alignment horizontal="center" vertical="center"/>
    </xf>
    <xf numFmtId="9" fontId="39" fillId="46" borderId="76" xfId="0" applyNumberFormat="1" applyFont="1" applyFill="1" applyBorder="1" applyAlignment="1">
      <alignment horizontal="center" vertical="center" wrapText="1"/>
    </xf>
    <xf numFmtId="9" fontId="39" fillId="46" borderId="79" xfId="0" applyNumberFormat="1" applyFont="1" applyFill="1" applyBorder="1" applyAlignment="1">
      <alignment horizontal="center" vertical="center" wrapText="1"/>
    </xf>
    <xf numFmtId="171" fontId="44" fillId="46" borderId="79" xfId="0" applyNumberFormat="1" applyFont="1" applyFill="1" applyBorder="1" applyAlignment="1">
      <alignment horizontal="right" vertical="center"/>
    </xf>
    <xf numFmtId="171" fontId="44" fillId="46" borderId="84" xfId="0" applyNumberFormat="1" applyFont="1" applyFill="1" applyBorder="1" applyAlignment="1">
      <alignment horizontal="right" vertical="center"/>
    </xf>
    <xf numFmtId="171" fontId="46" fillId="46" borderId="84" xfId="0" applyNumberFormat="1" applyFont="1" applyFill="1" applyBorder="1" applyAlignment="1">
      <alignment horizontal="right" vertical="center"/>
    </xf>
    <xf numFmtId="0" fontId="23" fillId="29" borderId="9" xfId="0" applyFont="1" applyFill="1" applyBorder="1" applyAlignment="1">
      <alignment horizontal="center" vertical="center"/>
    </xf>
    <xf numFmtId="0" fontId="6" fillId="44" borderId="5" xfId="0" applyFont="1" applyFill="1" applyBorder="1" applyAlignment="1">
      <alignment vertical="center" wrapText="1"/>
    </xf>
    <xf numFmtId="0" fontId="39" fillId="44" borderId="9" xfId="0" applyFont="1" applyFill="1" applyBorder="1" applyAlignment="1">
      <alignment horizontal="center" vertical="center"/>
    </xf>
    <xf numFmtId="0" fontId="39" fillId="44" borderId="5" xfId="0" applyFont="1" applyFill="1" applyBorder="1" applyAlignment="1">
      <alignment horizontal="center" vertical="center"/>
    </xf>
    <xf numFmtId="171" fontId="44" fillId="44" borderId="79" xfId="0" applyNumberFormat="1" applyFont="1" applyFill="1" applyBorder="1" applyAlignment="1">
      <alignment horizontal="right" vertical="center"/>
    </xf>
    <xf numFmtId="171" fontId="44" fillId="44" borderId="84" xfId="0" applyNumberFormat="1" applyFont="1" applyFill="1" applyBorder="1" applyAlignment="1">
      <alignment horizontal="right" vertical="center"/>
    </xf>
    <xf numFmtId="171" fontId="46" fillId="44" borderId="84" xfId="0" applyNumberFormat="1" applyFont="1" applyFill="1" applyBorder="1" applyAlignment="1">
      <alignment horizontal="right" vertical="center"/>
    </xf>
    <xf numFmtId="0" fontId="23" fillId="29" borderId="19" xfId="0" applyFont="1" applyFill="1" applyBorder="1" applyAlignment="1">
      <alignment horizontal="center" vertical="center" wrapText="1"/>
    </xf>
    <xf numFmtId="0" fontId="39" fillId="46" borderId="5" xfId="0" applyFont="1" applyFill="1" applyBorder="1" applyAlignment="1">
      <alignment vertical="center" wrapText="1"/>
    </xf>
    <xf numFmtId="0" fontId="23" fillId="28" borderId="85"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87" xfId="0" applyFont="1" applyFill="1" applyBorder="1" applyAlignment="1">
      <alignment horizontal="center" vertical="center" wrapText="1"/>
    </xf>
    <xf numFmtId="0" fontId="32" fillId="3" borderId="88" xfId="0" applyFont="1" applyFill="1" applyBorder="1" applyAlignment="1">
      <alignment horizontal="center" vertical="center" wrapText="1"/>
    </xf>
    <xf numFmtId="171" fontId="44" fillId="46" borderId="6" xfId="0" applyNumberFormat="1" applyFont="1" applyFill="1" applyBorder="1" applyAlignment="1">
      <alignment horizontal="right" vertical="center"/>
    </xf>
    <xf numFmtId="171" fontId="44" fillId="46" borderId="68" xfId="0" applyNumberFormat="1" applyFont="1" applyFill="1" applyBorder="1" applyAlignment="1">
      <alignment horizontal="right" vertical="center"/>
    </xf>
    <xf numFmtId="9" fontId="23" fillId="0" borderId="78" xfId="0" applyNumberFormat="1" applyFont="1" applyFill="1" applyBorder="1" applyAlignment="1">
      <alignment horizontal="center" vertical="center"/>
    </xf>
    <xf numFmtId="171" fontId="46" fillId="44" borderId="67" xfId="0" applyNumberFormat="1" applyFont="1" applyFill="1" applyBorder="1" applyAlignment="1">
      <alignment horizontal="right" vertical="center"/>
    </xf>
    <xf numFmtId="1" fontId="7" fillId="22" borderId="9" xfId="4" applyNumberFormat="1" applyFont="1" applyFill="1" applyBorder="1" applyAlignment="1">
      <alignment horizontal="center" vertical="center" wrapText="1"/>
    </xf>
    <xf numFmtId="1" fontId="7" fillId="22" borderId="5" xfId="4" applyNumberFormat="1" applyFont="1" applyFill="1" applyBorder="1" applyAlignment="1">
      <alignment horizontal="center" vertical="center" wrapText="1"/>
    </xf>
    <xf numFmtId="9" fontId="32" fillId="3" borderId="27" xfId="0" applyNumberFormat="1" applyFont="1" applyFill="1" applyBorder="1" applyAlignment="1">
      <alignment horizontal="center" vertical="center" wrapText="1"/>
    </xf>
    <xf numFmtId="9" fontId="32" fillId="3" borderId="89" xfId="0" applyNumberFormat="1" applyFont="1" applyFill="1" applyBorder="1" applyAlignment="1">
      <alignment horizontal="center" vertical="center" wrapText="1"/>
    </xf>
    <xf numFmtId="9" fontId="23" fillId="28" borderId="72" xfId="0" applyNumberFormat="1" applyFont="1" applyFill="1" applyBorder="1" applyAlignment="1">
      <alignment horizontal="center" vertical="center"/>
    </xf>
    <xf numFmtId="0" fontId="39" fillId="45" borderId="5" xfId="0" applyFont="1" applyFill="1" applyBorder="1" applyAlignment="1">
      <alignment vertical="center" wrapText="1"/>
    </xf>
    <xf numFmtId="0" fontId="23" fillId="25" borderId="85" xfId="0" applyFont="1" applyFill="1" applyBorder="1" applyAlignment="1">
      <alignment horizontal="center" vertical="center" wrapText="1"/>
    </xf>
    <xf numFmtId="0" fontId="32" fillId="3" borderId="31" xfId="0" applyFont="1" applyFill="1" applyBorder="1" applyAlignment="1">
      <alignment horizontal="center" vertical="center" wrapText="1"/>
    </xf>
    <xf numFmtId="0" fontId="32" fillId="3" borderId="32" xfId="0" applyFont="1" applyFill="1" applyBorder="1" applyAlignment="1">
      <alignment horizontal="center" vertical="center" wrapText="1"/>
    </xf>
    <xf numFmtId="171" fontId="44" fillId="45" borderId="6" xfId="0" applyNumberFormat="1" applyFont="1" applyFill="1" applyBorder="1" applyAlignment="1">
      <alignment horizontal="right" vertical="center"/>
    </xf>
    <xf numFmtId="171" fontId="44" fillId="45" borderId="68" xfId="0" applyNumberFormat="1" applyFont="1" applyFill="1" applyBorder="1" applyAlignment="1">
      <alignment horizontal="right" vertical="center"/>
    </xf>
    <xf numFmtId="0" fontId="39" fillId="43" borderId="32" xfId="0" applyFont="1" applyFill="1" applyBorder="1" applyAlignment="1">
      <alignment vertical="center" wrapText="1"/>
    </xf>
    <xf numFmtId="0" fontId="39" fillId="43" borderId="9" xfId="0" applyFont="1" applyFill="1" applyBorder="1" applyAlignment="1">
      <alignment horizontal="center" vertical="center"/>
    </xf>
    <xf numFmtId="0" fontId="39" fillId="43" borderId="5" xfId="0" applyFont="1" applyFill="1" applyBorder="1" applyAlignment="1">
      <alignment horizontal="center" vertical="center"/>
    </xf>
    <xf numFmtId="0" fontId="44" fillId="44" borderId="84" xfId="0" applyFont="1" applyFill="1" applyBorder="1" applyAlignment="1">
      <alignment horizontal="right" vertical="center"/>
    </xf>
    <xf numFmtId="0" fontId="23" fillId="25" borderId="66" xfId="0" applyFont="1" applyFill="1" applyBorder="1" applyAlignment="1">
      <alignment horizontal="center" vertical="center" wrapText="1"/>
    </xf>
    <xf numFmtId="1" fontId="4" fillId="23" borderId="7" xfId="4" applyNumberFormat="1" applyFont="1" applyFill="1" applyBorder="1" applyAlignment="1">
      <alignment horizontal="center" vertical="center" wrapText="1"/>
    </xf>
    <xf numFmtId="0" fontId="23" fillId="25" borderId="83" xfId="0" applyFont="1" applyFill="1" applyBorder="1" applyAlignment="1">
      <alignment horizontal="center" vertical="center"/>
    </xf>
    <xf numFmtId="0" fontId="23" fillId="25" borderId="76" xfId="0" applyFont="1" applyFill="1" applyBorder="1" applyAlignment="1">
      <alignment horizontal="center" vertical="center"/>
    </xf>
    <xf numFmtId="9" fontId="39" fillId="44" borderId="76" xfId="0" applyNumberFormat="1" applyFont="1" applyFill="1" applyBorder="1" applyAlignment="1">
      <alignment horizontal="center" vertical="center" wrapText="1"/>
    </xf>
    <xf numFmtId="0" fontId="44" fillId="44" borderId="79" xfId="0" applyFont="1" applyFill="1" applyBorder="1" applyAlignment="1">
      <alignment horizontal="right" vertical="center"/>
    </xf>
    <xf numFmtId="171" fontId="44" fillId="43" borderId="68" xfId="0" applyNumberFormat="1" applyFont="1" applyFill="1" applyBorder="1" applyAlignment="1">
      <alignment horizontal="right" vertical="center"/>
    </xf>
    <xf numFmtId="9" fontId="39" fillId="43" borderId="5" xfId="0" applyNumberFormat="1" applyFont="1" applyFill="1" applyBorder="1" applyAlignment="1">
      <alignment horizontal="center" vertical="center" wrapText="1"/>
    </xf>
    <xf numFmtId="9" fontId="39" fillId="43" borderId="6" xfId="0" applyNumberFormat="1" applyFont="1" applyFill="1" applyBorder="1" applyAlignment="1">
      <alignment horizontal="center" vertical="center" wrapText="1"/>
    </xf>
    <xf numFmtId="9" fontId="4" fillId="3" borderId="32" xfId="2" applyFont="1" applyFill="1" applyBorder="1" applyAlignment="1">
      <alignment horizontal="center" vertical="center" wrapText="1"/>
    </xf>
    <xf numFmtId="0" fontId="23" fillId="25" borderId="75" xfId="0" applyFont="1" applyFill="1" applyBorder="1" applyAlignment="1">
      <alignment horizontal="center" vertical="center"/>
    </xf>
    <xf numFmtId="0" fontId="23" fillId="25" borderId="72" xfId="0" applyFont="1" applyFill="1" applyBorder="1" applyAlignment="1">
      <alignment horizontal="center" vertical="center"/>
    </xf>
    <xf numFmtId="10" fontId="4" fillId="23" borderId="7" xfId="2" applyNumberFormat="1" applyFont="1" applyFill="1" applyBorder="1" applyAlignment="1">
      <alignment vertical="center" wrapText="1"/>
    </xf>
    <xf numFmtId="10" fontId="7" fillId="23" borderId="7" xfId="2" applyNumberFormat="1" applyFont="1" applyFill="1" applyBorder="1" applyAlignment="1">
      <alignment vertical="center" wrapText="1"/>
    </xf>
    <xf numFmtId="0" fontId="39" fillId="41" borderId="5" xfId="0" applyFont="1" applyFill="1" applyBorder="1" applyAlignment="1">
      <alignment vertical="center" wrapText="1"/>
    </xf>
    <xf numFmtId="0" fontId="39" fillId="41" borderId="9" xfId="0" applyFont="1" applyFill="1" applyBorder="1" applyAlignment="1">
      <alignment horizontal="center" vertical="center"/>
    </xf>
    <xf numFmtId="0" fontId="39" fillId="41" borderId="5" xfId="0" applyFont="1" applyFill="1" applyBorder="1" applyAlignment="1">
      <alignment horizontal="center" vertical="center"/>
    </xf>
    <xf numFmtId="0" fontId="39" fillId="41" borderId="68" xfId="0" applyFont="1" applyFill="1" applyBorder="1" applyAlignment="1">
      <alignment horizontal="center" vertical="center"/>
    </xf>
    <xf numFmtId="9" fontId="32" fillId="3" borderId="32" xfId="0" applyNumberFormat="1" applyFont="1" applyFill="1" applyBorder="1" applyAlignment="1">
      <alignment horizontal="center" vertical="center" wrapText="1"/>
    </xf>
    <xf numFmtId="9" fontId="32" fillId="3" borderId="60" xfId="0" applyNumberFormat="1" applyFont="1" applyFill="1" applyBorder="1" applyAlignment="1">
      <alignment horizontal="center" vertical="center" wrapText="1"/>
    </xf>
    <xf numFmtId="171" fontId="44" fillId="41" borderId="79" xfId="0" applyNumberFormat="1" applyFont="1" applyFill="1" applyBorder="1" applyAlignment="1">
      <alignment horizontal="right" vertical="center"/>
    </xf>
    <xf numFmtId="171" fontId="25" fillId="34" borderId="84" xfId="0" applyNumberFormat="1" applyFont="1" applyFill="1" applyBorder="1" applyAlignment="1">
      <alignment horizontal="right" vertical="center"/>
    </xf>
    <xf numFmtId="0" fontId="32" fillId="3" borderId="90" xfId="0" applyFont="1" applyFill="1" applyBorder="1" applyAlignment="1">
      <alignment vertical="center" wrapText="1"/>
    </xf>
    <xf numFmtId="1" fontId="4" fillId="3" borderId="31" xfId="4" applyNumberFormat="1" applyFont="1" applyFill="1" applyBorder="1" applyAlignment="1">
      <alignment horizontal="center" vertical="center" wrapText="1"/>
    </xf>
    <xf numFmtId="171" fontId="44" fillId="39" borderId="79" xfId="0" applyNumberFormat="1" applyFont="1" applyFill="1" applyBorder="1" applyAlignment="1">
      <alignment horizontal="right" vertical="center"/>
    </xf>
    <xf numFmtId="170" fontId="4" fillId="0" borderId="35" xfId="2" applyNumberFormat="1" applyFont="1" applyFill="1" applyBorder="1" applyAlignment="1">
      <alignment horizontal="center" vertical="center" wrapText="1"/>
    </xf>
    <xf numFmtId="0" fontId="32" fillId="3" borderId="35" xfId="0" applyFont="1" applyFill="1" applyBorder="1" applyAlignment="1">
      <alignment vertical="center" wrapText="1"/>
    </xf>
    <xf numFmtId="0" fontId="6" fillId="3" borderId="19" xfId="0" applyFont="1" applyFill="1" applyBorder="1" applyAlignment="1">
      <alignment horizontal="center" vertical="center" wrapText="1"/>
    </xf>
    <xf numFmtId="0" fontId="23" fillId="27" borderId="85" xfId="0" applyFont="1" applyFill="1" applyBorder="1" applyAlignment="1">
      <alignment horizontal="center" vertical="center" wrapText="1"/>
    </xf>
    <xf numFmtId="3" fontId="4" fillId="3" borderId="5" xfId="4" applyNumberFormat="1" applyFont="1" applyFill="1" applyBorder="1" applyAlignment="1">
      <alignment vertical="center" wrapText="1"/>
    </xf>
    <xf numFmtId="171" fontId="44" fillId="41" borderId="6" xfId="0" applyNumberFormat="1" applyFont="1" applyFill="1" applyBorder="1" applyAlignment="1">
      <alignment horizontal="right" vertical="center"/>
    </xf>
    <xf numFmtId="9" fontId="4" fillId="22" borderId="12" xfId="2" applyNumberFormat="1" applyFont="1" applyFill="1" applyBorder="1" applyAlignment="1">
      <alignment horizontal="center" vertical="center" wrapText="1"/>
    </xf>
    <xf numFmtId="3" fontId="4" fillId="22" borderId="14" xfId="4" applyNumberFormat="1" applyFont="1" applyFill="1" applyBorder="1" applyAlignment="1">
      <alignment horizontal="center" vertical="center" wrapText="1"/>
    </xf>
    <xf numFmtId="9" fontId="4" fillId="22" borderId="14" xfId="2" applyNumberFormat="1" applyFont="1" applyFill="1" applyBorder="1" applyAlignment="1">
      <alignment horizontal="center" vertical="center" wrapText="1"/>
    </xf>
    <xf numFmtId="0" fontId="39" fillId="42" borderId="5" xfId="0" applyFont="1" applyFill="1" applyBorder="1" applyAlignment="1">
      <alignment vertical="center" wrapText="1"/>
    </xf>
    <xf numFmtId="0" fontId="25" fillId="41" borderId="84" xfId="0" applyFont="1" applyFill="1" applyBorder="1" applyAlignment="1">
      <alignment horizontal="right" vertical="center"/>
    </xf>
    <xf numFmtId="171" fontId="32" fillId="0" borderId="65" xfId="0" applyNumberFormat="1" applyFont="1" applyFill="1" applyBorder="1" applyAlignment="1">
      <alignment horizontal="right" vertical="center"/>
    </xf>
    <xf numFmtId="0" fontId="7" fillId="23" borderId="14" xfId="4" applyFont="1" applyFill="1" applyBorder="1" applyAlignment="1">
      <alignment horizontal="center" vertical="center" wrapText="1"/>
    </xf>
    <xf numFmtId="0" fontId="39" fillId="0" borderId="5" xfId="0" applyFont="1" applyFill="1" applyBorder="1" applyAlignment="1">
      <alignment vertical="center" wrapText="1"/>
    </xf>
    <xf numFmtId="0" fontId="25" fillId="41" borderId="79" xfId="0" applyFont="1" applyFill="1" applyBorder="1" applyAlignment="1">
      <alignment horizontal="right" vertical="center"/>
    </xf>
    <xf numFmtId="171" fontId="23" fillId="41" borderId="79" xfId="0" applyNumberFormat="1" applyFont="1" applyFill="1" applyBorder="1" applyAlignment="1">
      <alignment horizontal="right" vertical="center"/>
    </xf>
    <xf numFmtId="170" fontId="4" fillId="0" borderId="5" xfId="2" applyNumberFormat="1" applyFont="1" applyFill="1" applyBorder="1" applyAlignment="1">
      <alignment horizontal="center" vertical="center" wrapText="1"/>
    </xf>
    <xf numFmtId="0" fontId="25" fillId="41" borderId="68" xfId="0" applyFont="1" applyFill="1" applyBorder="1" applyAlignment="1">
      <alignment horizontal="right" vertical="center"/>
    </xf>
    <xf numFmtId="3" fontId="7" fillId="23" borderId="15" xfId="4" applyNumberFormat="1" applyFont="1" applyFill="1" applyBorder="1" applyAlignment="1">
      <alignment vertical="center" wrapText="1"/>
    </xf>
    <xf numFmtId="171" fontId="23" fillId="41" borderId="78" xfId="0" applyNumberFormat="1" applyFont="1" applyFill="1" applyBorder="1" applyAlignment="1">
      <alignment horizontal="right" vertical="center"/>
    </xf>
    <xf numFmtId="0" fontId="25" fillId="41" borderId="67" xfId="0" applyFont="1" applyFill="1" applyBorder="1" applyAlignment="1">
      <alignment horizontal="right" vertical="center"/>
    </xf>
    <xf numFmtId="0" fontId="39" fillId="40" borderId="5" xfId="0" applyFont="1" applyFill="1" applyBorder="1" applyAlignment="1">
      <alignment vertical="center" wrapText="1"/>
    </xf>
    <xf numFmtId="0" fontId="32" fillId="40" borderId="0" xfId="0" applyFont="1" applyFill="1" applyBorder="1" applyAlignment="1">
      <alignment horizontal="center" vertical="center" wrapText="1"/>
    </xf>
    <xf numFmtId="0" fontId="39" fillId="0" borderId="9" xfId="0" applyFont="1" applyFill="1" applyBorder="1" applyAlignment="1">
      <alignment horizontal="center" vertical="center"/>
    </xf>
    <xf numFmtId="0" fontId="39" fillId="0" borderId="5" xfId="0" applyFont="1" applyFill="1" applyBorder="1" applyAlignment="1">
      <alignment horizontal="center" vertical="center"/>
    </xf>
    <xf numFmtId="3" fontId="4" fillId="3" borderId="32" xfId="4" applyNumberFormat="1" applyFont="1" applyFill="1" applyBorder="1" applyAlignment="1">
      <alignment horizontal="center" vertical="center" wrapText="1"/>
    </xf>
    <xf numFmtId="170" fontId="4" fillId="0" borderId="18" xfId="2" applyNumberFormat="1" applyFont="1" applyFill="1" applyBorder="1" applyAlignment="1">
      <alignment horizontal="center" vertical="center" wrapText="1"/>
    </xf>
    <xf numFmtId="9" fontId="39" fillId="40" borderId="5" xfId="0" applyNumberFormat="1" applyFont="1" applyFill="1" applyBorder="1" applyAlignment="1">
      <alignment horizontal="center" vertical="center" wrapText="1"/>
    </xf>
    <xf numFmtId="9" fontId="4" fillId="0" borderId="60" xfId="2" applyNumberFormat="1" applyFont="1" applyFill="1" applyBorder="1" applyAlignment="1">
      <alignment horizontal="center" vertical="center" wrapText="1"/>
    </xf>
    <xf numFmtId="171" fontId="23" fillId="40" borderId="79" xfId="0" applyNumberFormat="1" applyFont="1" applyFill="1" applyBorder="1" applyAlignment="1">
      <alignment horizontal="right" vertical="center"/>
    </xf>
    <xf numFmtId="0" fontId="32" fillId="40" borderId="85" xfId="0" applyFont="1" applyFill="1" applyBorder="1" applyAlignment="1">
      <alignment horizontal="center" vertical="center" wrapText="1"/>
    </xf>
    <xf numFmtId="0" fontId="7" fillId="22" borderId="13" xfId="4" applyFont="1" applyFill="1" applyBorder="1" applyAlignment="1">
      <alignment vertical="center" wrapText="1"/>
    </xf>
    <xf numFmtId="0" fontId="39" fillId="39" borderId="5" xfId="0" applyFont="1" applyFill="1" applyBorder="1" applyAlignment="1">
      <alignment vertical="center" wrapText="1"/>
    </xf>
    <xf numFmtId="0" fontId="32" fillId="39" borderId="0" xfId="0" applyFont="1" applyFill="1" applyBorder="1" applyAlignment="1">
      <alignment horizontal="center" vertical="center" wrapText="1"/>
    </xf>
    <xf numFmtId="171" fontId="25" fillId="39" borderId="6" xfId="0" applyNumberFormat="1" applyFont="1" applyFill="1" applyBorder="1" applyAlignment="1">
      <alignment horizontal="right" vertical="center"/>
    </xf>
    <xf numFmtId="171" fontId="25" fillId="39" borderId="68" xfId="0" applyNumberFormat="1" applyFont="1" applyFill="1" applyBorder="1" applyAlignment="1">
      <alignment horizontal="right" vertical="center"/>
    </xf>
    <xf numFmtId="171" fontId="25" fillId="39" borderId="84" xfId="0" applyNumberFormat="1" applyFont="1" applyFill="1" applyBorder="1" applyAlignment="1">
      <alignment horizontal="right" vertical="center"/>
    </xf>
    <xf numFmtId="171" fontId="34" fillId="0" borderId="80" xfId="0" applyNumberFormat="1" applyFont="1" applyFill="1" applyBorder="1" applyAlignment="1">
      <alignment vertical="center"/>
    </xf>
    <xf numFmtId="9" fontId="4" fillId="0" borderId="27" xfId="2" applyFont="1" applyFill="1" applyBorder="1" applyAlignment="1">
      <alignment vertical="center" wrapText="1"/>
    </xf>
    <xf numFmtId="9" fontId="4" fillId="0" borderId="58" xfId="2" applyNumberFormat="1" applyFont="1" applyFill="1" applyBorder="1" applyAlignment="1">
      <alignment horizontal="center" vertical="center" wrapText="1"/>
    </xf>
    <xf numFmtId="171" fontId="23" fillId="40" borderId="78" xfId="0" applyNumberFormat="1" applyFont="1" applyFill="1" applyBorder="1" applyAlignment="1">
      <alignment horizontal="right" vertical="center"/>
    </xf>
    <xf numFmtId="1" fontId="4" fillId="23" borderId="14" xfId="4" applyNumberFormat="1" applyFont="1" applyFill="1" applyBorder="1" applyAlignment="1">
      <alignment vertical="center" wrapText="1"/>
    </xf>
    <xf numFmtId="9" fontId="4" fillId="23" borderId="14" xfId="2" applyFont="1" applyFill="1" applyBorder="1" applyAlignment="1">
      <alignment vertical="center" wrapText="1"/>
    </xf>
    <xf numFmtId="9" fontId="4" fillId="23" borderId="7" xfId="2" applyNumberFormat="1" applyFont="1" applyFill="1" applyBorder="1" applyAlignment="1">
      <alignment horizontal="center" vertical="center" wrapText="1"/>
    </xf>
    <xf numFmtId="0" fontId="6" fillId="39" borderId="66" xfId="0" applyFont="1" applyFill="1" applyBorder="1" applyAlignment="1">
      <alignment horizontal="center" vertical="center" wrapText="1"/>
    </xf>
    <xf numFmtId="0" fontId="39" fillId="34" borderId="83" xfId="0" applyFont="1" applyFill="1" applyBorder="1" applyAlignment="1">
      <alignment horizontal="center" vertical="center"/>
    </xf>
    <xf numFmtId="0" fontId="39" fillId="34" borderId="76" xfId="0" applyFont="1" applyFill="1" applyBorder="1" applyAlignment="1">
      <alignment horizontal="center" vertical="center"/>
    </xf>
    <xf numFmtId="9" fontId="4" fillId="0" borderId="31" xfId="2" applyFont="1" applyFill="1" applyBorder="1" applyAlignment="1">
      <alignment vertical="center" wrapText="1"/>
    </xf>
    <xf numFmtId="174" fontId="25" fillId="34" borderId="84" xfId="0" applyNumberFormat="1" applyFont="1" applyFill="1" applyBorder="1" applyAlignment="1">
      <alignment horizontal="right" vertical="center"/>
    </xf>
    <xf numFmtId="0" fontId="23" fillId="0" borderId="66" xfId="0" applyFont="1" applyFill="1" applyBorder="1" applyAlignment="1">
      <alignment horizontal="center" vertical="center" wrapText="1"/>
    </xf>
    <xf numFmtId="0" fontId="39" fillId="34" borderId="75" xfId="0" applyFont="1" applyFill="1" applyBorder="1" applyAlignment="1">
      <alignment horizontal="center" vertical="center"/>
    </xf>
    <xf numFmtId="0" fontId="39" fillId="35" borderId="76" xfId="0" applyFont="1" applyFill="1" applyBorder="1" applyAlignment="1">
      <alignment vertical="center" wrapText="1"/>
    </xf>
    <xf numFmtId="0" fontId="23" fillId="0" borderId="85" xfId="0" applyFont="1" applyFill="1" applyBorder="1" applyAlignment="1">
      <alignment horizontal="center" vertical="center" wrapText="1"/>
    </xf>
    <xf numFmtId="0" fontId="23" fillId="0" borderId="83" xfId="0" applyFont="1" applyFill="1" applyBorder="1" applyAlignment="1">
      <alignment horizontal="center" vertical="center"/>
    </xf>
    <xf numFmtId="0" fontId="23" fillId="0" borderId="76" xfId="0" applyFont="1" applyFill="1" applyBorder="1" applyAlignment="1">
      <alignment horizontal="center" vertical="center"/>
    </xf>
    <xf numFmtId="171" fontId="25" fillId="54" borderId="79" xfId="0" applyNumberFormat="1" applyFont="1" applyFill="1" applyBorder="1" applyAlignment="1">
      <alignment vertical="center"/>
    </xf>
    <xf numFmtId="171" fontId="25" fillId="34" borderId="60" xfId="0" applyNumberFormat="1" applyFont="1" applyFill="1" applyBorder="1" applyAlignment="1">
      <alignment horizontal="right" vertical="center"/>
    </xf>
    <xf numFmtId="171" fontId="25" fillId="0" borderId="6" xfId="0" applyNumberFormat="1" applyFont="1" applyFill="1" applyBorder="1" applyAlignment="1">
      <alignment horizontal="right" vertical="center"/>
    </xf>
    <xf numFmtId="1" fontId="7" fillId="22" borderId="14" xfId="4" applyNumberFormat="1" applyFont="1" applyFill="1" applyBorder="1" applyAlignment="1">
      <alignment vertical="center" wrapText="1"/>
    </xf>
    <xf numFmtId="9" fontId="7" fillId="22" borderId="14" xfId="2" applyFont="1" applyFill="1" applyBorder="1" applyAlignment="1">
      <alignment vertical="center" wrapText="1"/>
    </xf>
    <xf numFmtId="9" fontId="7" fillId="22" borderId="7" xfId="2" applyNumberFormat="1" applyFont="1" applyFill="1" applyBorder="1" applyAlignment="1">
      <alignment horizontal="center" vertical="center" wrapText="1"/>
    </xf>
    <xf numFmtId="173" fontId="7" fillId="22" borderId="7" xfId="4" applyNumberFormat="1" applyFont="1" applyFill="1" applyBorder="1" applyAlignment="1">
      <alignment vertical="center" wrapText="1"/>
    </xf>
    <xf numFmtId="0" fontId="39" fillId="36" borderId="5" xfId="0" applyFont="1" applyFill="1" applyBorder="1" applyAlignment="1">
      <alignment vertical="center" wrapText="1"/>
    </xf>
    <xf numFmtId="0" fontId="32" fillId="36" borderId="85" xfId="0" applyFont="1" applyFill="1" applyBorder="1" applyAlignment="1">
      <alignment horizontal="center" vertical="center" wrapText="1"/>
    </xf>
    <xf numFmtId="0" fontId="39" fillId="36" borderId="83" xfId="0" applyFont="1" applyFill="1" applyBorder="1" applyAlignment="1">
      <alignment horizontal="center" vertical="center"/>
    </xf>
    <xf numFmtId="0" fontId="39" fillId="36" borderId="76" xfId="0" applyFont="1" applyFill="1" applyBorder="1" applyAlignment="1">
      <alignment horizontal="center" vertical="center"/>
    </xf>
    <xf numFmtId="9" fontId="39" fillId="36" borderId="5" xfId="0" applyNumberFormat="1" applyFont="1" applyFill="1" applyBorder="1" applyAlignment="1">
      <alignment horizontal="center" vertical="center" wrapText="1"/>
    </xf>
    <xf numFmtId="0" fontId="23" fillId="0" borderId="75" xfId="0" applyFont="1" applyFill="1" applyBorder="1" applyAlignment="1">
      <alignment horizontal="center" vertical="center"/>
    </xf>
    <xf numFmtId="0" fontId="23" fillId="0" borderId="72" xfId="0" applyFont="1" applyFill="1" applyBorder="1" applyAlignment="1">
      <alignment horizontal="center" vertical="center"/>
    </xf>
    <xf numFmtId="0" fontId="39" fillId="35" borderId="0" xfId="0" applyFont="1" applyFill="1" applyBorder="1" applyAlignment="1">
      <alignment horizontal="center" vertical="center" wrapText="1"/>
    </xf>
    <xf numFmtId="1" fontId="4" fillId="0" borderId="32" xfId="4" applyNumberFormat="1" applyFont="1" applyFill="1" applyBorder="1" applyAlignment="1">
      <alignment horizontal="center" vertical="center" wrapText="1"/>
    </xf>
    <xf numFmtId="10" fontId="4" fillId="0" borderId="31" xfId="2" applyNumberFormat="1" applyFont="1" applyFill="1" applyBorder="1" applyAlignment="1">
      <alignment vertical="center" wrapText="1"/>
    </xf>
    <xf numFmtId="9" fontId="32" fillId="3" borderId="5" xfId="0" applyNumberFormat="1" applyFont="1" applyFill="1" applyBorder="1" applyAlignment="1">
      <alignment horizontal="center" vertical="center" wrapText="1"/>
    </xf>
    <xf numFmtId="9" fontId="32" fillId="3" borderId="6" xfId="0" applyNumberFormat="1" applyFont="1" applyFill="1" applyBorder="1" applyAlignment="1">
      <alignment horizontal="center" vertical="center" wrapText="1"/>
    </xf>
    <xf numFmtId="171" fontId="25" fillId="35" borderId="6" xfId="0" applyNumberFormat="1" applyFont="1" applyFill="1" applyBorder="1" applyAlignment="1">
      <alignment horizontal="right" vertical="center"/>
    </xf>
    <xf numFmtId="171" fontId="25" fillId="35" borderId="68" xfId="0" applyNumberFormat="1" applyFont="1" applyFill="1" applyBorder="1" applyAlignment="1">
      <alignment horizontal="right" vertical="center"/>
    </xf>
    <xf numFmtId="9" fontId="4" fillId="0" borderId="19" xfId="2" applyFont="1" applyFill="1" applyBorder="1" applyAlignment="1">
      <alignment horizontal="center" vertical="center" wrapText="1"/>
    </xf>
    <xf numFmtId="9" fontId="4" fillId="3" borderId="27" xfId="2" applyFont="1" applyFill="1" applyBorder="1" applyAlignment="1">
      <alignment horizontal="center" vertical="center" wrapText="1"/>
    </xf>
    <xf numFmtId="0" fontId="39" fillId="34" borderId="0" xfId="0" applyFont="1" applyFill="1" applyBorder="1" applyAlignment="1">
      <alignment horizontal="center" vertical="center" wrapText="1"/>
    </xf>
    <xf numFmtId="172" fontId="25" fillId="34" borderId="84" xfId="0" applyNumberFormat="1" applyFont="1" applyFill="1" applyBorder="1" applyAlignment="1">
      <alignment horizontal="right" vertical="center"/>
    </xf>
    <xf numFmtId="166" fontId="7" fillId="0" borderId="18" xfId="3" applyNumberFormat="1" applyFont="1" applyFill="1" applyBorder="1" applyAlignment="1">
      <alignment vertical="center" wrapText="1"/>
    </xf>
    <xf numFmtId="1" fontId="4" fillId="0" borderId="35" xfId="4" applyNumberFormat="1" applyFont="1" applyFill="1" applyBorder="1" applyAlignment="1">
      <alignment horizontal="center" vertical="center" wrapText="1"/>
    </xf>
    <xf numFmtId="1" fontId="4" fillId="3" borderId="27" xfId="4" applyNumberFormat="1" applyFont="1" applyFill="1" applyBorder="1" applyAlignment="1">
      <alignment horizontal="center" vertical="center" wrapText="1"/>
    </xf>
    <xf numFmtId="3" fontId="4" fillId="3" borderId="35" xfId="4" applyNumberFormat="1" applyFont="1" applyFill="1" applyBorder="1" applyAlignment="1">
      <alignment horizontal="center" vertical="center" wrapText="1"/>
    </xf>
    <xf numFmtId="172" fontId="25" fillId="34" borderId="67" xfId="0" applyNumberFormat="1" applyFont="1" applyFill="1" applyBorder="1" applyAlignment="1">
      <alignment horizontal="right" vertical="center"/>
    </xf>
    <xf numFmtId="4" fontId="7" fillId="23" borderId="7" xfId="4" applyNumberFormat="1" applyFont="1" applyFill="1" applyBorder="1" applyAlignment="1">
      <alignment vertical="center" wrapText="1"/>
    </xf>
    <xf numFmtId="166" fontId="7" fillId="0" borderId="19" xfId="3" applyNumberFormat="1" applyFont="1" applyFill="1" applyBorder="1" applyAlignment="1">
      <alignment vertical="center" wrapText="1"/>
    </xf>
    <xf numFmtId="170" fontId="4" fillId="23" borderId="14" xfId="2" applyNumberFormat="1" applyFont="1" applyFill="1" applyBorder="1" applyAlignment="1">
      <alignment horizontal="center" vertical="center" wrapText="1"/>
    </xf>
    <xf numFmtId="3" fontId="4" fillId="57" borderId="15" xfId="4" applyNumberFormat="1" applyFont="1" applyFill="1" applyBorder="1" applyAlignment="1">
      <alignment vertical="center" wrapText="1"/>
    </xf>
    <xf numFmtId="1" fontId="4" fillId="57" borderId="14" xfId="4" applyNumberFormat="1" applyFont="1" applyFill="1" applyBorder="1" applyAlignment="1">
      <alignment horizontal="center" vertical="center" wrapText="1"/>
    </xf>
    <xf numFmtId="1" fontId="4" fillId="57" borderId="12" xfId="4" applyNumberFormat="1" applyFont="1" applyFill="1" applyBorder="1" applyAlignment="1">
      <alignment horizontal="center" vertical="center" wrapText="1"/>
    </xf>
    <xf numFmtId="1" fontId="4" fillId="57" borderId="15" xfId="4" applyNumberFormat="1" applyFont="1" applyFill="1" applyBorder="1" applyAlignment="1">
      <alignment horizontal="center" vertical="center" wrapText="1"/>
    </xf>
    <xf numFmtId="170" fontId="7" fillId="57" borderId="12" xfId="2" applyNumberFormat="1" applyFont="1" applyFill="1" applyBorder="1" applyAlignment="1">
      <alignment horizontal="center" vertical="center" wrapText="1"/>
    </xf>
    <xf numFmtId="3" fontId="4" fillId="57" borderId="12" xfId="4" applyNumberFormat="1" applyFont="1" applyFill="1" applyBorder="1" applyAlignment="1">
      <alignment vertical="center" wrapText="1"/>
    </xf>
    <xf numFmtId="0" fontId="7" fillId="57" borderId="14" xfId="4" applyFont="1" applyFill="1" applyBorder="1" applyAlignment="1">
      <alignment horizontal="center" vertical="center" wrapText="1"/>
    </xf>
    <xf numFmtId="0" fontId="7" fillId="57" borderId="12" xfId="4" applyFont="1" applyFill="1" applyBorder="1" applyAlignment="1">
      <alignment horizontal="center" vertical="center" wrapText="1"/>
    </xf>
    <xf numFmtId="3" fontId="4" fillId="57" borderId="14" xfId="4" applyNumberFormat="1" applyFont="1" applyFill="1" applyBorder="1" applyAlignment="1">
      <alignment vertical="center" wrapText="1"/>
    </xf>
    <xf numFmtId="3" fontId="4" fillId="57" borderId="14" xfId="4" applyNumberFormat="1" applyFont="1" applyFill="1" applyBorder="1" applyAlignment="1">
      <alignment horizontal="center" vertical="center" wrapText="1"/>
    </xf>
    <xf numFmtId="3" fontId="4" fillId="57" borderId="12" xfId="4" applyNumberFormat="1" applyFont="1" applyFill="1" applyBorder="1" applyAlignment="1">
      <alignment horizontal="center" vertical="center" wrapText="1"/>
    </xf>
    <xf numFmtId="170" fontId="7" fillId="57" borderId="14" xfId="2" applyNumberFormat="1" applyFont="1" applyFill="1" applyBorder="1" applyAlignment="1">
      <alignment horizontal="center" vertical="center" wrapText="1"/>
    </xf>
    <xf numFmtId="9" fontId="7" fillId="57" borderId="12" xfId="2" applyFont="1" applyFill="1" applyBorder="1" applyAlignment="1">
      <alignment horizontal="center" vertical="center" wrapText="1"/>
    </xf>
    <xf numFmtId="9" fontId="7" fillId="57" borderId="7" xfId="2" applyFont="1" applyFill="1" applyBorder="1" applyAlignment="1">
      <alignment horizontal="center" vertical="center" wrapText="1"/>
    </xf>
    <xf numFmtId="3" fontId="7" fillId="57" borderId="7" xfId="4" applyNumberFormat="1" applyFont="1" applyFill="1" applyBorder="1" applyAlignment="1">
      <alignment vertical="center" wrapText="1"/>
    </xf>
    <xf numFmtId="4" fontId="7" fillId="57" borderId="7" xfId="4" applyNumberFormat="1" applyFont="1" applyFill="1" applyBorder="1" applyAlignment="1">
      <alignment vertical="center" wrapText="1"/>
    </xf>
    <xf numFmtId="10" fontId="7" fillId="57" borderId="12" xfId="2" applyNumberFormat="1" applyFont="1" applyFill="1" applyBorder="1" applyAlignment="1">
      <alignment horizontal="right" vertical="center" wrapText="1"/>
    </xf>
    <xf numFmtId="10" fontId="7" fillId="57" borderId="12" xfId="2" applyNumberFormat="1" applyFont="1" applyFill="1" applyBorder="1" applyAlignment="1">
      <alignment horizontal="center" vertical="center" wrapText="1"/>
    </xf>
    <xf numFmtId="10" fontId="4" fillId="57" borderId="12" xfId="2" applyNumberFormat="1" applyFont="1" applyFill="1" applyBorder="1" applyAlignment="1">
      <alignment vertical="center" wrapText="1"/>
    </xf>
    <xf numFmtId="3" fontId="7" fillId="57" borderId="15" xfId="4" applyNumberFormat="1" applyFont="1" applyFill="1" applyBorder="1" applyAlignment="1">
      <alignment vertical="center" wrapText="1"/>
    </xf>
    <xf numFmtId="3" fontId="7" fillId="57" borderId="14" xfId="4" applyNumberFormat="1" applyFont="1" applyFill="1" applyBorder="1" applyAlignment="1">
      <alignment vertical="center" wrapText="1"/>
    </xf>
    <xf numFmtId="3" fontId="7" fillId="57" borderId="12" xfId="4" applyNumberFormat="1" applyFont="1" applyFill="1" applyBorder="1" applyAlignment="1">
      <alignment vertical="center" wrapText="1"/>
    </xf>
    <xf numFmtId="0" fontId="4" fillId="57" borderId="12" xfId="4" applyFont="1" applyFill="1" applyBorder="1" applyAlignment="1">
      <alignment vertical="center" wrapText="1"/>
    </xf>
    <xf numFmtId="0" fontId="49" fillId="56" borderId="12" xfId="0" applyFont="1" applyFill="1" applyBorder="1" applyAlignment="1">
      <alignment vertical="center" wrapText="1"/>
    </xf>
    <xf numFmtId="0" fontId="39" fillId="39" borderId="0" xfId="0" applyFont="1" applyFill="1" applyBorder="1" applyAlignment="1">
      <alignment horizontal="center" vertical="center" wrapText="1"/>
    </xf>
    <xf numFmtId="0" fontId="23" fillId="26" borderId="9" xfId="0" applyFont="1" applyFill="1" applyBorder="1" applyAlignment="1">
      <alignment horizontal="center" vertical="center"/>
    </xf>
    <xf numFmtId="0" fontId="23" fillId="26" borderId="5" xfId="0" applyFont="1" applyFill="1" applyBorder="1" applyAlignment="1">
      <alignment horizontal="center" vertical="center"/>
    </xf>
    <xf numFmtId="171" fontId="44" fillId="39" borderId="6" xfId="0" applyNumberFormat="1" applyFont="1" applyFill="1" applyBorder="1" applyAlignment="1">
      <alignment horizontal="right" vertical="center"/>
    </xf>
    <xf numFmtId="0" fontId="39" fillId="44" borderId="76" xfId="0" applyFont="1" applyFill="1" applyBorder="1" applyAlignment="1">
      <alignment vertical="center" wrapText="1"/>
    </xf>
    <xf numFmtId="0" fontId="39" fillId="44" borderId="85" xfId="0" applyFont="1" applyFill="1" applyBorder="1" applyAlignment="1">
      <alignment horizontal="center" vertical="center" wrapText="1"/>
    </xf>
    <xf numFmtId="0" fontId="7" fillId="20" borderId="5" xfId="0" applyFont="1" applyFill="1" applyBorder="1" applyAlignment="1">
      <alignment vertical="center" wrapText="1"/>
    </xf>
    <xf numFmtId="3" fontId="7" fillId="22" borderId="0" xfId="4" applyNumberFormat="1" applyFont="1" applyFill="1" applyBorder="1" applyAlignment="1">
      <alignment vertical="center" wrapText="1"/>
    </xf>
    <xf numFmtId="1" fontId="7" fillId="22" borderId="0" xfId="4" applyNumberFormat="1" applyFont="1" applyFill="1" applyBorder="1" applyAlignment="1">
      <alignment horizontal="center" vertical="center" wrapText="1"/>
    </xf>
    <xf numFmtId="9" fontId="7" fillId="22" borderId="5" xfId="2" applyNumberFormat="1" applyFont="1" applyFill="1" applyBorder="1" applyAlignment="1">
      <alignment horizontal="center" vertical="center" wrapText="1"/>
    </xf>
    <xf numFmtId="3" fontId="7" fillId="22" borderId="5" xfId="4" applyNumberFormat="1" applyFont="1" applyFill="1" applyBorder="1" applyAlignment="1">
      <alignment vertical="center" wrapText="1"/>
    </xf>
    <xf numFmtId="3" fontId="7" fillId="22" borderId="9" xfId="4" applyNumberFormat="1" applyFont="1" applyFill="1" applyBorder="1" applyAlignment="1">
      <alignment vertical="center" wrapText="1"/>
    </xf>
    <xf numFmtId="170" fontId="7" fillId="22" borderId="5" xfId="2" applyNumberFormat="1" applyFont="1" applyFill="1" applyBorder="1" applyAlignment="1">
      <alignment vertical="center" wrapText="1"/>
    </xf>
    <xf numFmtId="3" fontId="7" fillId="22" borderId="9" xfId="4" applyNumberFormat="1" applyFont="1" applyFill="1" applyBorder="1" applyAlignment="1">
      <alignment horizontal="center" vertical="center" wrapText="1"/>
    </xf>
    <xf numFmtId="3" fontId="7" fillId="22" borderId="5" xfId="4" applyNumberFormat="1" applyFont="1" applyFill="1" applyBorder="1" applyAlignment="1">
      <alignment horizontal="center" vertical="center" wrapText="1"/>
    </xf>
    <xf numFmtId="9" fontId="7" fillId="22" borderId="6" xfId="2" applyNumberFormat="1" applyFont="1" applyFill="1" applyBorder="1" applyAlignment="1">
      <alignment horizontal="center" vertical="center" wrapText="1"/>
    </xf>
    <xf numFmtId="3" fontId="7" fillId="22" borderId="6" xfId="4" applyNumberFormat="1" applyFont="1" applyFill="1" applyBorder="1" applyAlignment="1">
      <alignment vertical="center" wrapText="1"/>
    </xf>
    <xf numFmtId="10" fontId="7" fillId="22" borderId="5" xfId="2" applyNumberFormat="1" applyFont="1" applyFill="1" applyBorder="1" applyAlignment="1">
      <alignment horizontal="right" vertical="center" wrapText="1"/>
    </xf>
    <xf numFmtId="4" fontId="7" fillId="22" borderId="6" xfId="4" applyNumberFormat="1" applyFont="1" applyFill="1" applyBorder="1" applyAlignment="1">
      <alignment vertical="center" wrapText="1"/>
    </xf>
    <xf numFmtId="10" fontId="7" fillId="22" borderId="5" xfId="2" applyNumberFormat="1" applyFont="1" applyFill="1" applyBorder="1" applyAlignment="1">
      <alignment horizontal="center" vertical="center" wrapText="1"/>
    </xf>
    <xf numFmtId="9" fontId="7" fillId="22" borderId="5" xfId="2" applyFont="1" applyFill="1" applyBorder="1" applyAlignment="1">
      <alignment horizontal="center" vertical="center" wrapText="1"/>
    </xf>
    <xf numFmtId="0" fontId="7" fillId="22" borderId="6" xfId="4" applyFont="1" applyFill="1" applyBorder="1" applyAlignment="1">
      <alignment vertical="center" wrapText="1"/>
    </xf>
    <xf numFmtId="0" fontId="7" fillId="22" borderId="5" xfId="4" applyFont="1" applyFill="1" applyBorder="1" applyAlignment="1">
      <alignment vertical="center" wrapText="1"/>
    </xf>
    <xf numFmtId="0" fontId="49" fillId="58" borderId="12" xfId="0" applyFont="1" applyFill="1" applyBorder="1" applyAlignment="1">
      <alignment vertical="center" wrapText="1"/>
    </xf>
    <xf numFmtId="3" fontId="4" fillId="59" borderId="15" xfId="4" applyNumberFormat="1" applyFont="1" applyFill="1" applyBorder="1" applyAlignment="1">
      <alignment vertical="center" wrapText="1"/>
    </xf>
    <xf numFmtId="3" fontId="7" fillId="59" borderId="15" xfId="4" applyNumberFormat="1" applyFont="1" applyFill="1" applyBorder="1" applyAlignment="1">
      <alignment vertical="center" wrapText="1"/>
    </xf>
    <xf numFmtId="1" fontId="7" fillId="59" borderId="14" xfId="4" applyNumberFormat="1" applyFont="1" applyFill="1" applyBorder="1" applyAlignment="1">
      <alignment horizontal="center" vertical="center" wrapText="1"/>
    </xf>
    <xf numFmtId="1" fontId="7" fillId="59" borderId="12" xfId="4" applyNumberFormat="1" applyFont="1" applyFill="1" applyBorder="1" applyAlignment="1">
      <alignment horizontal="center" vertical="center" wrapText="1"/>
    </xf>
    <xf numFmtId="1" fontId="7" fillId="59" borderId="15" xfId="4" applyNumberFormat="1" applyFont="1" applyFill="1" applyBorder="1" applyAlignment="1">
      <alignment horizontal="center" vertical="center" wrapText="1"/>
    </xf>
    <xf numFmtId="170" fontId="7" fillId="59" borderId="12" xfId="2" applyNumberFormat="1" applyFont="1" applyFill="1" applyBorder="1" applyAlignment="1">
      <alignment horizontal="center" vertical="center" wrapText="1"/>
    </xf>
    <xf numFmtId="0" fontId="7" fillId="59" borderId="12" xfId="4" applyFont="1" applyFill="1" applyBorder="1" applyAlignment="1">
      <alignment horizontal="center" vertical="center" wrapText="1"/>
    </xf>
    <xf numFmtId="0" fontId="7" fillId="59" borderId="15" xfId="4" applyFont="1" applyFill="1" applyBorder="1" applyAlignment="1">
      <alignment horizontal="center" vertical="center" wrapText="1"/>
    </xf>
    <xf numFmtId="0" fontId="7" fillId="59" borderId="14" xfId="4" applyFont="1" applyFill="1" applyBorder="1" applyAlignment="1">
      <alignment horizontal="center" vertical="center" wrapText="1"/>
    </xf>
    <xf numFmtId="15" fontId="7" fillId="59" borderId="14" xfId="4" applyNumberFormat="1" applyFont="1" applyFill="1" applyBorder="1" applyAlignment="1">
      <alignment horizontal="center" vertical="center" wrapText="1"/>
    </xf>
    <xf numFmtId="10" fontId="7" fillId="59" borderId="12" xfId="2" applyNumberFormat="1" applyFont="1" applyFill="1" applyBorder="1" applyAlignment="1">
      <alignment horizontal="right" vertical="center" wrapText="1"/>
    </xf>
    <xf numFmtId="3" fontId="7" fillId="59" borderId="14" xfId="4" applyNumberFormat="1" applyFont="1" applyFill="1" applyBorder="1" applyAlignment="1">
      <alignment horizontal="center" vertical="center" wrapText="1"/>
    </xf>
    <xf numFmtId="3" fontId="7" fillId="59" borderId="12" xfId="4" applyNumberFormat="1" applyFont="1" applyFill="1" applyBorder="1" applyAlignment="1">
      <alignment horizontal="center" vertical="center" wrapText="1"/>
    </xf>
    <xf numFmtId="170" fontId="7" fillId="59" borderId="14" xfId="2" applyNumberFormat="1" applyFont="1" applyFill="1" applyBorder="1" applyAlignment="1">
      <alignment horizontal="center" vertical="center" wrapText="1"/>
    </xf>
    <xf numFmtId="9" fontId="7" fillId="59" borderId="12" xfId="2" applyNumberFormat="1" applyFont="1" applyFill="1" applyBorder="1" applyAlignment="1">
      <alignment horizontal="center" vertical="center" wrapText="1"/>
    </xf>
    <xf numFmtId="9" fontId="7" fillId="59" borderId="7" xfId="2" applyNumberFormat="1" applyFont="1" applyFill="1" applyBorder="1" applyAlignment="1">
      <alignment horizontal="center" vertical="center" wrapText="1"/>
    </xf>
    <xf numFmtId="3" fontId="7" fillId="59" borderId="7" xfId="4" applyNumberFormat="1" applyFont="1" applyFill="1" applyBorder="1" applyAlignment="1">
      <alignment vertical="center" wrapText="1"/>
    </xf>
    <xf numFmtId="4" fontId="7" fillId="59" borderId="7" xfId="4" applyNumberFormat="1" applyFont="1" applyFill="1" applyBorder="1" applyAlignment="1">
      <alignment vertical="center" wrapText="1"/>
    </xf>
    <xf numFmtId="10" fontId="7" fillId="59" borderId="12" xfId="2" applyNumberFormat="1" applyFont="1" applyFill="1" applyBorder="1" applyAlignment="1">
      <alignment horizontal="center" vertical="center" wrapText="1"/>
    </xf>
    <xf numFmtId="10" fontId="7" fillId="59" borderId="12" xfId="2" applyNumberFormat="1" applyFont="1" applyFill="1" applyBorder="1" applyAlignment="1">
      <alignment vertical="center" wrapText="1"/>
    </xf>
    <xf numFmtId="9" fontId="7" fillId="59" borderId="12" xfId="2" applyFont="1" applyFill="1" applyBorder="1" applyAlignment="1">
      <alignment horizontal="center" vertical="center" wrapText="1"/>
    </xf>
    <xf numFmtId="3" fontId="7" fillId="59" borderId="14" xfId="4" applyNumberFormat="1" applyFont="1" applyFill="1" applyBorder="1" applyAlignment="1">
      <alignment vertical="center" wrapText="1"/>
    </xf>
    <xf numFmtId="3" fontId="7" fillId="59" borderId="12" xfId="4" applyNumberFormat="1" applyFont="1" applyFill="1" applyBorder="1" applyAlignment="1">
      <alignment vertical="center" wrapText="1"/>
    </xf>
    <xf numFmtId="0" fontId="7" fillId="59" borderId="7" xfId="4" applyFont="1" applyFill="1" applyBorder="1" applyAlignment="1">
      <alignment vertical="center" wrapText="1"/>
    </xf>
    <xf numFmtId="0" fontId="7" fillId="59" borderId="12" xfId="4" applyFont="1" applyFill="1" applyBorder="1" applyAlignment="1">
      <alignment vertical="center" wrapText="1"/>
    </xf>
    <xf numFmtId="1" fontId="4" fillId="59" borderId="14" xfId="4" applyNumberFormat="1" applyFont="1" applyFill="1" applyBorder="1" applyAlignment="1">
      <alignment horizontal="center" vertical="center" wrapText="1"/>
    </xf>
    <xf numFmtId="1" fontId="4" fillId="59" borderId="12" xfId="4" applyNumberFormat="1" applyFont="1" applyFill="1" applyBorder="1" applyAlignment="1">
      <alignment horizontal="center" vertical="center" wrapText="1"/>
    </xf>
    <xf numFmtId="1" fontId="4" fillId="59" borderId="15" xfId="4" applyNumberFormat="1" applyFont="1" applyFill="1" applyBorder="1" applyAlignment="1">
      <alignment horizontal="center" vertical="center" wrapText="1"/>
    </xf>
    <xf numFmtId="170" fontId="7" fillId="59" borderId="7" xfId="2" applyNumberFormat="1" applyFont="1" applyFill="1" applyBorder="1" applyAlignment="1">
      <alignment horizontal="center" vertical="center" wrapText="1"/>
    </xf>
    <xf numFmtId="9" fontId="7" fillId="59" borderId="7" xfId="2" applyFont="1" applyFill="1" applyBorder="1" applyAlignment="1">
      <alignment horizontal="center" vertical="center" wrapText="1"/>
    </xf>
    <xf numFmtId="10" fontId="4" fillId="59" borderId="12" xfId="2" applyNumberFormat="1" applyFont="1" applyFill="1" applyBorder="1" applyAlignment="1">
      <alignment vertical="center" wrapText="1"/>
    </xf>
    <xf numFmtId="0" fontId="4" fillId="59" borderId="12" xfId="4" applyFont="1" applyFill="1" applyBorder="1" applyAlignment="1">
      <alignment vertical="center" wrapText="1"/>
    </xf>
    <xf numFmtId="0" fontId="4" fillId="59" borderId="15" xfId="4" applyFont="1" applyFill="1" applyBorder="1" applyAlignment="1">
      <alignment vertical="center" wrapText="1"/>
    </xf>
    <xf numFmtId="0" fontId="4" fillId="59" borderId="14" xfId="4" applyFont="1" applyFill="1" applyBorder="1" applyAlignment="1">
      <alignment vertical="center" wrapText="1"/>
    </xf>
    <xf numFmtId="14" fontId="4" fillId="59" borderId="14" xfId="4" applyNumberFormat="1" applyFont="1" applyFill="1" applyBorder="1" applyAlignment="1">
      <alignment vertical="center" wrapText="1"/>
    </xf>
    <xf numFmtId="0" fontId="4" fillId="59" borderId="14" xfId="4" applyFont="1" applyFill="1" applyBorder="1" applyAlignment="1">
      <alignment horizontal="center" vertical="center" wrapText="1"/>
    </xf>
    <xf numFmtId="3" fontId="4" fillId="59" borderId="12" xfId="4" applyNumberFormat="1" applyFont="1" applyFill="1" applyBorder="1" applyAlignment="1">
      <alignment horizontal="center" vertical="center" wrapText="1"/>
    </xf>
    <xf numFmtId="1" fontId="4" fillId="23" borderId="28" xfId="4" applyNumberFormat="1" applyFont="1" applyFill="1" applyBorder="1" applyAlignment="1">
      <alignment horizontal="center" vertical="center" wrapText="1"/>
    </xf>
    <xf numFmtId="0" fontId="4" fillId="60" borderId="30" xfId="0" applyFont="1" applyFill="1" applyBorder="1" applyAlignment="1">
      <alignment vertical="center" wrapText="1"/>
    </xf>
    <xf numFmtId="3" fontId="4" fillId="3" borderId="17" xfId="4" applyNumberFormat="1" applyFont="1" applyFill="1" applyBorder="1" applyAlignment="1">
      <alignment vertical="center" wrapText="1"/>
    </xf>
    <xf numFmtId="9" fontId="4" fillId="3" borderId="17" xfId="2" applyFont="1" applyFill="1" applyBorder="1" applyAlignment="1">
      <alignment horizontal="center" vertical="center" wrapText="1"/>
    </xf>
    <xf numFmtId="170" fontId="4" fillId="3" borderId="30" xfId="2" applyNumberFormat="1" applyFont="1" applyFill="1" applyBorder="1" applyAlignment="1">
      <alignment horizontal="center" vertical="center" wrapText="1"/>
    </xf>
    <xf numFmtId="0" fontId="4" fillId="3" borderId="18" xfId="4" applyFont="1" applyFill="1" applyBorder="1" applyAlignment="1">
      <alignment vertical="center" wrapText="1"/>
    </xf>
    <xf numFmtId="3" fontId="4" fillId="3" borderId="29" xfId="4" applyNumberFormat="1" applyFont="1" applyFill="1" applyBorder="1" applyAlignment="1">
      <alignment vertical="center" wrapText="1"/>
    </xf>
    <xf numFmtId="0" fontId="4" fillId="3" borderId="31" xfId="4" applyFont="1" applyFill="1" applyBorder="1" applyAlignment="1">
      <alignment vertical="center" wrapText="1"/>
    </xf>
    <xf numFmtId="14" fontId="4" fillId="3" borderId="29" xfId="4" applyNumberFormat="1" applyFont="1" applyFill="1" applyBorder="1" applyAlignment="1">
      <alignment vertical="center" wrapText="1"/>
    </xf>
    <xf numFmtId="9" fontId="4" fillId="3" borderId="31" xfId="4" applyNumberFormat="1" applyFont="1" applyFill="1" applyBorder="1" applyAlignment="1">
      <alignment horizontal="center" vertical="center" wrapText="1"/>
    </xf>
    <xf numFmtId="9" fontId="4" fillId="3" borderId="59" xfId="2" applyFont="1" applyFill="1" applyBorder="1" applyAlignment="1">
      <alignment horizontal="center" vertical="center" wrapText="1"/>
    </xf>
    <xf numFmtId="3" fontId="4" fillId="3" borderId="59" xfId="4" applyNumberFormat="1" applyFont="1" applyFill="1" applyBorder="1" applyAlignment="1">
      <alignment vertical="center" wrapText="1"/>
    </xf>
    <xf numFmtId="10" fontId="4" fillId="3" borderId="30" xfId="2" applyNumberFormat="1" applyFont="1" applyFill="1" applyBorder="1" applyAlignment="1">
      <alignment horizontal="right" vertical="center" wrapText="1"/>
    </xf>
    <xf numFmtId="10" fontId="4" fillId="3" borderId="30" xfId="2" applyNumberFormat="1" applyFont="1" applyFill="1" applyBorder="1" applyAlignment="1">
      <alignment horizontal="center" vertical="center" wrapText="1"/>
    </xf>
    <xf numFmtId="10" fontId="4" fillId="3" borderId="35" xfId="2" applyNumberFormat="1" applyFont="1" applyFill="1" applyBorder="1" applyAlignment="1">
      <alignment vertical="center" wrapText="1"/>
    </xf>
    <xf numFmtId="3" fontId="4" fillId="3" borderId="31" xfId="4" applyNumberFormat="1" applyFont="1" applyFill="1" applyBorder="1" applyAlignment="1">
      <alignment vertical="center" wrapText="1"/>
    </xf>
    <xf numFmtId="0" fontId="4" fillId="3" borderId="30" xfId="4" applyFont="1" applyFill="1" applyBorder="1" applyAlignment="1">
      <alignment vertical="center" wrapText="1"/>
    </xf>
    <xf numFmtId="0" fontId="4" fillId="3" borderId="0" xfId="4" applyFont="1" applyFill="1" applyAlignment="1">
      <alignment vertical="center" wrapText="1"/>
    </xf>
    <xf numFmtId="0" fontId="4" fillId="21" borderId="1" xfId="0" applyFont="1" applyFill="1" applyBorder="1" applyAlignment="1">
      <alignment vertical="center" wrapText="1"/>
    </xf>
    <xf numFmtId="0" fontId="39" fillId="45" borderId="92" xfId="0" applyFont="1" applyFill="1" applyBorder="1" applyAlignment="1">
      <alignment vertical="center" wrapText="1"/>
    </xf>
    <xf numFmtId="0" fontId="39" fillId="44" borderId="34" xfId="0" applyFont="1" applyFill="1" applyBorder="1" applyAlignment="1">
      <alignment vertical="center" wrapText="1"/>
    </xf>
    <xf numFmtId="10" fontId="4" fillId="3" borderId="32" xfId="2" applyNumberFormat="1" applyFont="1" applyFill="1" applyBorder="1" applyAlignment="1">
      <alignment horizontal="center" vertical="center" wrapText="1"/>
    </xf>
    <xf numFmtId="9" fontId="4" fillId="3" borderId="31" xfId="2" applyFont="1" applyFill="1" applyBorder="1" applyAlignment="1">
      <alignment horizontal="center" vertical="center" wrapText="1"/>
    </xf>
    <xf numFmtId="0" fontId="6" fillId="3" borderId="91" xfId="0" applyFont="1" applyFill="1" applyBorder="1" applyAlignment="1">
      <alignment horizontal="center" vertical="center" wrapText="1"/>
    </xf>
    <xf numFmtId="49" fontId="14" fillId="0" borderId="42" xfId="4" applyNumberFormat="1" applyFont="1" applyBorder="1" applyAlignment="1">
      <alignment horizontal="center" vertical="center" wrapText="1"/>
    </xf>
    <xf numFmtId="49" fontId="17" fillId="14" borderId="47" xfId="0" applyNumberFormat="1" applyFont="1" applyFill="1" applyBorder="1" applyAlignment="1">
      <alignment horizontal="center" vertical="center" wrapText="1"/>
    </xf>
    <xf numFmtId="49" fontId="14" fillId="12" borderId="42" xfId="4" applyNumberFormat="1" applyFont="1" applyFill="1" applyBorder="1" applyAlignment="1">
      <alignment horizontal="center" vertical="center"/>
    </xf>
    <xf numFmtId="0" fontId="14" fillId="12" borderId="42" xfId="4" applyFont="1" applyFill="1" applyBorder="1" applyAlignment="1">
      <alignment horizontal="left" vertical="center"/>
    </xf>
    <xf numFmtId="167" fontId="14" fillId="12" borderId="42" xfId="3" applyNumberFormat="1" applyFont="1" applyFill="1" applyBorder="1" applyAlignment="1">
      <alignment horizontal="right" vertical="center"/>
    </xf>
    <xf numFmtId="10" fontId="14" fillId="12" borderId="42" xfId="2" applyNumberFormat="1" applyFont="1" applyFill="1" applyBorder="1" applyAlignment="1">
      <alignment horizontal="right" vertical="center"/>
    </xf>
    <xf numFmtId="49" fontId="14" fillId="0" borderId="0" xfId="4" applyNumberFormat="1" applyFont="1" applyAlignment="1">
      <alignment horizontal="center" vertical="center"/>
    </xf>
    <xf numFmtId="43" fontId="0" fillId="0" borderId="0" xfId="0" applyNumberFormat="1"/>
    <xf numFmtId="0" fontId="14" fillId="13" borderId="42" xfId="4" applyFont="1" applyFill="1" applyBorder="1" applyAlignment="1">
      <alignment horizontal="center" vertical="center"/>
    </xf>
    <xf numFmtId="49" fontId="14" fillId="13" borderId="42" xfId="4" applyNumberFormat="1" applyFont="1" applyFill="1" applyBorder="1" applyAlignment="1">
      <alignment horizontal="center" vertical="center"/>
    </xf>
    <xf numFmtId="0" fontId="14" fillId="13" borderId="42" xfId="4" applyFont="1" applyFill="1" applyBorder="1" applyAlignment="1">
      <alignment horizontal="left" vertical="center"/>
    </xf>
    <xf numFmtId="167" fontId="14" fillId="13" borderId="42" xfId="3" applyNumberFormat="1" applyFont="1" applyFill="1" applyBorder="1" applyAlignment="1">
      <alignment horizontal="right" vertical="center"/>
    </xf>
    <xf numFmtId="10" fontId="14" fillId="13" borderId="42" xfId="2" applyNumberFormat="1" applyFont="1" applyFill="1" applyBorder="1" applyAlignment="1">
      <alignment horizontal="right" vertical="center"/>
    </xf>
    <xf numFmtId="0" fontId="14" fillId="61" borderId="42" xfId="4" applyFont="1" applyFill="1" applyBorder="1" applyAlignment="1">
      <alignment horizontal="center" vertical="center"/>
    </xf>
    <xf numFmtId="49" fontId="14" fillId="61" borderId="42" xfId="4" applyNumberFormat="1" applyFont="1" applyFill="1" applyBorder="1" applyAlignment="1">
      <alignment horizontal="center" vertical="center"/>
    </xf>
    <xf numFmtId="49" fontId="16" fillId="61" borderId="42" xfId="4" applyNumberFormat="1" applyFont="1" applyFill="1" applyBorder="1" applyAlignment="1">
      <alignment horizontal="center" vertical="center"/>
    </xf>
    <xf numFmtId="0" fontId="14" fillId="61" borderId="42" xfId="4" applyFont="1" applyFill="1" applyBorder="1" applyAlignment="1">
      <alignment horizontal="left" vertical="center"/>
    </xf>
    <xf numFmtId="167" fontId="14" fillId="61" borderId="42" xfId="3" applyNumberFormat="1" applyFont="1" applyFill="1" applyBorder="1" applyAlignment="1">
      <alignment horizontal="right" vertical="center"/>
    </xf>
    <xf numFmtId="10" fontId="14" fillId="61" borderId="42" xfId="2" applyNumberFormat="1" applyFont="1" applyFill="1" applyBorder="1" applyAlignment="1">
      <alignment horizontal="right" vertical="center"/>
    </xf>
    <xf numFmtId="0" fontId="14" fillId="62" borderId="42" xfId="4" applyFont="1" applyFill="1" applyBorder="1" applyAlignment="1">
      <alignment horizontal="center" vertical="center"/>
    </xf>
    <xf numFmtId="49" fontId="14" fillId="62" borderId="42" xfId="4" applyNumberFormat="1" applyFont="1" applyFill="1" applyBorder="1" applyAlignment="1">
      <alignment horizontal="center" vertical="center"/>
    </xf>
    <xf numFmtId="49" fontId="16" fillId="62" borderId="42" xfId="4" applyNumberFormat="1" applyFont="1" applyFill="1" applyBorder="1" applyAlignment="1">
      <alignment horizontal="center" vertical="center"/>
    </xf>
    <xf numFmtId="0" fontId="14" fillId="62" borderId="42" xfId="4" applyFont="1" applyFill="1" applyBorder="1" applyAlignment="1">
      <alignment horizontal="left" vertical="center"/>
    </xf>
    <xf numFmtId="167" fontId="14" fillId="62" borderId="42" xfId="3" applyNumberFormat="1" applyFont="1" applyFill="1" applyBorder="1" applyAlignment="1">
      <alignment horizontal="right" vertical="center"/>
    </xf>
    <xf numFmtId="10" fontId="14" fillId="62" borderId="42" xfId="2" applyNumberFormat="1" applyFont="1" applyFill="1" applyBorder="1" applyAlignment="1">
      <alignment horizontal="right" vertical="center"/>
    </xf>
    <xf numFmtId="167" fontId="14" fillId="0" borderId="42" xfId="3" applyNumberFormat="1" applyFont="1" applyBorder="1" applyAlignment="1">
      <alignment horizontal="right" vertical="center"/>
    </xf>
    <xf numFmtId="10" fontId="14" fillId="0" borderId="42" xfId="2" applyNumberFormat="1" applyFont="1" applyBorder="1" applyAlignment="1">
      <alignment horizontal="right" vertical="center"/>
    </xf>
    <xf numFmtId="10" fontId="16" fillId="0" borderId="42" xfId="2" applyNumberFormat="1" applyFont="1" applyBorder="1" applyAlignment="1">
      <alignment horizontal="right" vertical="center"/>
    </xf>
    <xf numFmtId="10" fontId="14" fillId="0" borderId="42" xfId="2" applyNumberFormat="1" applyFont="1" applyFill="1" applyBorder="1" applyAlignment="1">
      <alignment horizontal="right" vertical="center"/>
    </xf>
    <xf numFmtId="43" fontId="14" fillId="62" borderId="42" xfId="3" applyFont="1" applyFill="1" applyBorder="1" applyAlignment="1">
      <alignment horizontal="right" vertical="center"/>
    </xf>
    <xf numFmtId="43" fontId="14" fillId="0" borderId="42" xfId="3" applyFont="1" applyFill="1" applyBorder="1" applyAlignment="1">
      <alignment horizontal="right" vertical="center"/>
    </xf>
    <xf numFmtId="43" fontId="14" fillId="0" borderId="42" xfId="3" applyFont="1" applyBorder="1" applyAlignment="1">
      <alignment horizontal="right" vertical="center"/>
    </xf>
    <xf numFmtId="43" fontId="16" fillId="0" borderId="42" xfId="3" applyFont="1" applyBorder="1" applyAlignment="1">
      <alignment horizontal="right" vertical="center"/>
    </xf>
    <xf numFmtId="0" fontId="14" fillId="3" borderId="42" xfId="4" applyFont="1" applyFill="1" applyBorder="1" applyAlignment="1">
      <alignment horizontal="left" vertical="center"/>
    </xf>
    <xf numFmtId="43" fontId="14" fillId="61" borderId="42" xfId="3" applyFont="1" applyFill="1" applyBorder="1" applyAlignment="1">
      <alignment horizontal="right" vertical="center"/>
    </xf>
    <xf numFmtId="49" fontId="14" fillId="3" borderId="42" xfId="4" applyNumberFormat="1" applyFont="1" applyFill="1" applyBorder="1" applyAlignment="1">
      <alignment horizontal="center" vertical="center"/>
    </xf>
    <xf numFmtId="49" fontId="16" fillId="3" borderId="42" xfId="4" applyNumberFormat="1" applyFont="1" applyFill="1" applyBorder="1" applyAlignment="1">
      <alignment horizontal="center" vertical="center"/>
    </xf>
    <xf numFmtId="43" fontId="14" fillId="0" borderId="42" xfId="3" applyFont="1" applyBorder="1" applyAlignment="1">
      <alignment horizontal="left" vertical="center"/>
    </xf>
    <xf numFmtId="10" fontId="14" fillId="0" borderId="42" xfId="2" applyNumberFormat="1" applyFont="1" applyBorder="1" applyAlignment="1">
      <alignment horizontal="left" vertical="center"/>
    </xf>
    <xf numFmtId="43" fontId="16" fillId="0" borderId="42" xfId="3" applyFont="1" applyBorder="1" applyAlignment="1">
      <alignment horizontal="left" vertical="center"/>
    </xf>
    <xf numFmtId="10" fontId="16" fillId="0" borderId="42" xfId="2" applyNumberFormat="1" applyFont="1" applyBorder="1" applyAlignment="1">
      <alignment horizontal="left" vertical="center"/>
    </xf>
    <xf numFmtId="43" fontId="14" fillId="62" borderId="42" xfId="3" applyFont="1" applyFill="1" applyBorder="1" applyAlignment="1">
      <alignment horizontal="left" vertical="center"/>
    </xf>
    <xf numFmtId="10" fontId="14" fillId="62" borderId="42" xfId="2" applyNumberFormat="1" applyFont="1" applyFill="1" applyBorder="1" applyAlignment="1">
      <alignment horizontal="left" vertical="center"/>
    </xf>
    <xf numFmtId="49" fontId="14" fillId="61" borderId="42" xfId="4" applyNumberFormat="1" applyFont="1" applyFill="1" applyBorder="1" applyAlignment="1">
      <alignment horizontal="left" vertical="center"/>
    </xf>
    <xf numFmtId="43" fontId="14" fillId="61" borderId="42" xfId="3" applyFont="1" applyFill="1" applyBorder="1" applyAlignment="1">
      <alignment horizontal="center" vertical="center"/>
    </xf>
    <xf numFmtId="10" fontId="14" fillId="61" borderId="42" xfId="2" applyNumberFormat="1" applyFont="1" applyFill="1" applyBorder="1" applyAlignment="1">
      <alignment horizontal="center" vertical="center"/>
    </xf>
    <xf numFmtId="43" fontId="14" fillId="0" borderId="42" xfId="3" applyFont="1" applyFill="1" applyBorder="1" applyAlignment="1">
      <alignment horizontal="left" vertical="center"/>
    </xf>
    <xf numFmtId="10" fontId="14" fillId="0" borderId="42" xfId="2" applyNumberFormat="1" applyFont="1" applyFill="1" applyBorder="1" applyAlignment="1">
      <alignment horizontal="left" vertical="center"/>
    </xf>
    <xf numFmtId="43" fontId="14" fillId="61" borderId="42" xfId="3" applyFont="1" applyFill="1" applyBorder="1" applyAlignment="1">
      <alignment horizontal="left" vertical="center"/>
    </xf>
    <xf numFmtId="10" fontId="14" fillId="61" borderId="42" xfId="2" applyNumberFormat="1" applyFont="1" applyFill="1" applyBorder="1" applyAlignment="1">
      <alignment horizontal="left" vertical="center"/>
    </xf>
    <xf numFmtId="0" fontId="14" fillId="0" borderId="0" xfId="4" applyFont="1" applyAlignment="1">
      <alignment horizontal="left" vertical="center"/>
    </xf>
    <xf numFmtId="49" fontId="14" fillId="0" borderId="93" xfId="4" applyNumberFormat="1" applyFont="1" applyBorder="1" applyAlignment="1">
      <alignment horizontal="center" vertical="center"/>
    </xf>
    <xf numFmtId="164" fontId="7" fillId="16" borderId="48" xfId="3" applyNumberFormat="1" applyFont="1" applyFill="1" applyBorder="1"/>
    <xf numFmtId="0" fontId="4" fillId="23" borderId="28" xfId="4" applyFont="1" applyFill="1" applyBorder="1" applyAlignment="1">
      <alignment horizontal="center" vertical="center" wrapText="1"/>
    </xf>
    <xf numFmtId="10" fontId="4" fillId="0" borderId="29" xfId="2" applyNumberFormat="1" applyFont="1" applyFill="1" applyBorder="1" applyAlignment="1">
      <alignment horizontal="center" vertical="center" wrapText="1"/>
    </xf>
    <xf numFmtId="10" fontId="4" fillId="23" borderId="27" xfId="2" applyNumberFormat="1" applyFont="1" applyFill="1" applyBorder="1" applyAlignment="1">
      <alignment horizontal="center" vertical="center" wrapText="1"/>
    </xf>
    <xf numFmtId="10" fontId="4" fillId="23" borderId="29" xfId="2" applyNumberFormat="1" applyFont="1" applyFill="1" applyBorder="1" applyAlignment="1">
      <alignment horizontal="center" vertical="center" wrapText="1"/>
    </xf>
    <xf numFmtId="0" fontId="4" fillId="23" borderId="1" xfId="4" applyFont="1" applyFill="1" applyBorder="1" applyAlignment="1">
      <alignment vertical="center" wrapText="1"/>
    </xf>
    <xf numFmtId="0" fontId="7" fillId="10" borderId="8" xfId="4" applyFont="1" applyFill="1" applyBorder="1" applyAlignment="1">
      <alignment horizontal="center" vertical="center" wrapText="1"/>
    </xf>
    <xf numFmtId="0" fontId="8" fillId="6" borderId="7" xfId="4" applyFont="1" applyFill="1" applyBorder="1" applyAlignment="1">
      <alignment horizontal="center" vertical="center" wrapText="1"/>
    </xf>
    <xf numFmtId="0" fontId="7" fillId="8" borderId="15" xfId="4" applyFont="1" applyFill="1" applyBorder="1" applyAlignment="1">
      <alignment horizontal="center" vertical="center" wrapText="1"/>
    </xf>
    <xf numFmtId="0" fontId="7" fillId="8" borderId="14" xfId="4" applyFont="1" applyFill="1" applyBorder="1" applyAlignment="1">
      <alignment horizontal="center" vertical="center" wrapText="1"/>
    </xf>
    <xf numFmtId="0" fontId="6" fillId="34" borderId="79" xfId="0" applyFont="1" applyFill="1" applyBorder="1" applyAlignment="1">
      <alignment horizontal="center" vertical="center" wrapText="1"/>
    </xf>
    <xf numFmtId="0" fontId="7" fillId="10" borderId="7" xfId="4" applyFont="1" applyFill="1" applyBorder="1" applyAlignment="1">
      <alignment horizontal="center" vertical="center" wrapText="1"/>
    </xf>
    <xf numFmtId="0" fontId="4" fillId="0" borderId="0" xfId="4" applyFont="1" applyAlignment="1">
      <alignment vertical="center" wrapText="1"/>
    </xf>
    <xf numFmtId="0" fontId="4" fillId="0" borderId="0" xfId="4" applyFont="1" applyAlignment="1">
      <alignment vertical="center"/>
    </xf>
    <xf numFmtId="0" fontId="4" fillId="0" borderId="0" xfId="4" applyFont="1" applyAlignment="1">
      <alignment horizontal="center" vertical="center" wrapText="1"/>
    </xf>
    <xf numFmtId="0" fontId="7" fillId="63" borderId="28" xfId="0" applyFont="1" applyFill="1" applyBorder="1" applyAlignment="1">
      <alignment vertical="center" wrapText="1"/>
    </xf>
    <xf numFmtId="3" fontId="7" fillId="64" borderId="19" xfId="4" applyNumberFormat="1" applyFont="1" applyFill="1" applyBorder="1" applyAlignment="1">
      <alignment vertical="center" wrapText="1"/>
    </xf>
    <xf numFmtId="1" fontId="7" fillId="64" borderId="94" xfId="4" applyNumberFormat="1" applyFont="1" applyFill="1" applyBorder="1" applyAlignment="1">
      <alignment horizontal="center" vertical="center" wrapText="1"/>
    </xf>
    <xf numFmtId="1" fontId="7" fillId="64" borderId="28" xfId="4" applyNumberFormat="1" applyFont="1" applyFill="1" applyBorder="1" applyAlignment="1">
      <alignment horizontal="center" vertical="center" wrapText="1"/>
    </xf>
    <xf numFmtId="1" fontId="7" fillId="64" borderId="19" xfId="4" applyNumberFormat="1" applyFont="1" applyFill="1" applyBorder="1" applyAlignment="1">
      <alignment horizontal="center" vertical="center" wrapText="1"/>
    </xf>
    <xf numFmtId="1" fontId="7" fillId="64" borderId="27" xfId="4" applyNumberFormat="1" applyFont="1" applyFill="1" applyBorder="1" applyAlignment="1">
      <alignment horizontal="center" vertical="center" wrapText="1"/>
    </xf>
    <xf numFmtId="170" fontId="7" fillId="64" borderId="35" xfId="2" applyNumberFormat="1" applyFont="1" applyFill="1" applyBorder="1" applyAlignment="1">
      <alignment horizontal="center" vertical="center" wrapText="1"/>
    </xf>
    <xf numFmtId="0" fontId="7" fillId="64" borderId="9" xfId="4" applyFont="1" applyFill="1" applyBorder="1" applyAlignment="1">
      <alignment horizontal="center" vertical="center" wrapText="1"/>
    </xf>
    <xf numFmtId="0" fontId="7" fillId="64" borderId="2" xfId="4" applyFont="1" applyFill="1" applyBorder="1" applyAlignment="1">
      <alignment horizontal="center" vertical="center" wrapText="1"/>
    </xf>
    <xf numFmtId="0" fontId="7" fillId="64" borderId="1" xfId="4" applyFont="1" applyFill="1" applyBorder="1" applyAlignment="1">
      <alignment horizontal="center" vertical="center" wrapText="1"/>
    </xf>
    <xf numFmtId="15" fontId="7" fillId="64" borderId="9" xfId="4" applyNumberFormat="1" applyFont="1" applyFill="1" applyBorder="1" applyAlignment="1">
      <alignment horizontal="center" vertical="center" wrapText="1"/>
    </xf>
    <xf numFmtId="10" fontId="7" fillId="64" borderId="5" xfId="2" applyNumberFormat="1" applyFont="1" applyFill="1" applyBorder="1" applyAlignment="1">
      <alignment horizontal="right" vertical="center" wrapText="1"/>
    </xf>
    <xf numFmtId="3" fontId="7" fillId="64" borderId="27" xfId="4" applyNumberFormat="1" applyFont="1" applyFill="1" applyBorder="1" applyAlignment="1">
      <alignment horizontal="center" vertical="center" wrapText="1"/>
    </xf>
    <xf numFmtId="3" fontId="7" fillId="64" borderId="28" xfId="4" applyNumberFormat="1" applyFont="1" applyFill="1" applyBorder="1" applyAlignment="1">
      <alignment horizontal="center" vertical="center" wrapText="1"/>
    </xf>
    <xf numFmtId="170" fontId="7" fillId="64" borderId="27" xfId="2" applyNumberFormat="1" applyFont="1" applyFill="1" applyBorder="1" applyAlignment="1">
      <alignment horizontal="center" vertical="center" wrapText="1"/>
    </xf>
    <xf numFmtId="9" fontId="7" fillId="64" borderId="28" xfId="2" applyFont="1" applyFill="1" applyBorder="1" applyAlignment="1">
      <alignment horizontal="center" vertical="center" wrapText="1"/>
    </xf>
    <xf numFmtId="9" fontId="7" fillId="64" borderId="95" xfId="2" applyFont="1" applyFill="1" applyBorder="1" applyAlignment="1">
      <alignment horizontal="center" vertical="center" wrapText="1"/>
    </xf>
    <xf numFmtId="3" fontId="7" fillId="64" borderId="58" xfId="4" applyNumberFormat="1" applyFont="1" applyFill="1" applyBorder="1" applyAlignment="1">
      <alignment vertical="center" wrapText="1"/>
    </xf>
    <xf numFmtId="4" fontId="7" fillId="64" borderId="58" xfId="4" applyNumberFormat="1" applyFont="1" applyFill="1" applyBorder="1" applyAlignment="1">
      <alignment vertical="center" wrapText="1"/>
    </xf>
    <xf numFmtId="10" fontId="7" fillId="64" borderId="28" xfId="2" applyNumberFormat="1" applyFont="1" applyFill="1" applyBorder="1" applyAlignment="1">
      <alignment horizontal="right" vertical="center" wrapText="1"/>
    </xf>
    <xf numFmtId="10" fontId="7" fillId="64" borderId="28" xfId="2" applyNumberFormat="1" applyFont="1" applyFill="1" applyBorder="1" applyAlignment="1">
      <alignment vertical="center" wrapText="1"/>
    </xf>
    <xf numFmtId="3" fontId="7" fillId="64" borderId="95" xfId="4" applyNumberFormat="1" applyFont="1" applyFill="1" applyBorder="1" applyAlignment="1">
      <alignment vertical="center" wrapText="1"/>
    </xf>
    <xf numFmtId="3" fontId="7" fillId="64" borderId="96" xfId="4" applyNumberFormat="1" applyFont="1" applyFill="1" applyBorder="1" applyAlignment="1">
      <alignment vertical="center" wrapText="1"/>
    </xf>
    <xf numFmtId="3" fontId="7" fillId="64" borderId="94" xfId="4" applyNumberFormat="1" applyFont="1" applyFill="1" applyBorder="1" applyAlignment="1">
      <alignment vertical="center" wrapText="1"/>
    </xf>
    <xf numFmtId="3" fontId="7" fillId="64" borderId="28" xfId="4" applyNumberFormat="1" applyFont="1" applyFill="1" applyBorder="1" applyAlignment="1">
      <alignment vertical="center" wrapText="1"/>
    </xf>
    <xf numFmtId="0" fontId="7" fillId="64" borderId="95" xfId="4" applyFont="1" applyFill="1" applyBorder="1" applyAlignment="1">
      <alignment vertical="center" wrapText="1"/>
    </xf>
    <xf numFmtId="0" fontId="7" fillId="64" borderId="28" xfId="4" applyFont="1" applyFill="1" applyBorder="1" applyAlignment="1">
      <alignment vertical="center" wrapText="1"/>
    </xf>
    <xf numFmtId="0" fontId="7" fillId="20" borderId="30" xfId="0" applyFont="1" applyFill="1" applyBorder="1" applyAlignment="1">
      <alignment vertical="center" wrapText="1"/>
    </xf>
    <xf numFmtId="3" fontId="4" fillId="22" borderId="17" xfId="4" applyNumberFormat="1" applyFont="1" applyFill="1" applyBorder="1" applyAlignment="1">
      <alignment vertical="center" wrapText="1"/>
    </xf>
    <xf numFmtId="1" fontId="4" fillId="22" borderId="29" xfId="4" applyNumberFormat="1" applyFont="1" applyFill="1" applyBorder="1" applyAlignment="1">
      <alignment horizontal="center" vertical="center" wrapText="1"/>
    </xf>
    <xf numFmtId="1" fontId="4" fillId="22" borderId="30" xfId="4" applyNumberFormat="1" applyFont="1" applyFill="1" applyBorder="1" applyAlignment="1">
      <alignment horizontal="center" vertical="center" wrapText="1"/>
    </xf>
    <xf numFmtId="1" fontId="4" fillId="22" borderId="17" xfId="4" applyNumberFormat="1" applyFont="1" applyFill="1" applyBorder="1" applyAlignment="1">
      <alignment horizontal="center" vertical="center" wrapText="1"/>
    </xf>
    <xf numFmtId="9" fontId="4" fillId="22" borderId="30" xfId="2" applyFont="1" applyFill="1" applyBorder="1" applyAlignment="1">
      <alignment horizontal="center" vertical="center" wrapText="1"/>
    </xf>
    <xf numFmtId="3" fontId="4" fillId="22" borderId="29" xfId="4" applyNumberFormat="1" applyFont="1" applyFill="1" applyBorder="1" applyAlignment="1">
      <alignment vertical="center" wrapText="1"/>
    </xf>
    <xf numFmtId="3" fontId="4" fillId="22" borderId="30" xfId="4" applyNumberFormat="1" applyFont="1" applyFill="1" applyBorder="1" applyAlignment="1">
      <alignment vertical="center" wrapText="1"/>
    </xf>
    <xf numFmtId="170" fontId="4" fillId="22" borderId="30" xfId="2" applyNumberFormat="1" applyFont="1" applyFill="1" applyBorder="1" applyAlignment="1">
      <alignment vertical="center" wrapText="1"/>
    </xf>
    <xf numFmtId="3" fontId="4" fillId="22" borderId="29" xfId="4" applyNumberFormat="1" applyFont="1" applyFill="1" applyBorder="1" applyAlignment="1">
      <alignment horizontal="center" vertical="center" wrapText="1"/>
    </xf>
    <xf numFmtId="3" fontId="4" fillId="22" borderId="30" xfId="4" applyNumberFormat="1" applyFont="1" applyFill="1" applyBorder="1" applyAlignment="1">
      <alignment horizontal="center" vertical="center" wrapText="1"/>
    </xf>
    <xf numFmtId="9" fontId="4" fillId="22" borderId="29" xfId="2" applyFont="1" applyFill="1" applyBorder="1" applyAlignment="1">
      <alignment horizontal="center" vertical="center" wrapText="1"/>
    </xf>
    <xf numFmtId="9" fontId="7" fillId="22" borderId="30" xfId="2" applyFont="1" applyFill="1" applyBorder="1" applyAlignment="1">
      <alignment horizontal="center" vertical="center" wrapText="1"/>
    </xf>
    <xf numFmtId="9" fontId="7" fillId="22" borderId="59" xfId="2" applyFont="1" applyFill="1" applyBorder="1" applyAlignment="1">
      <alignment horizontal="center" vertical="center" wrapText="1"/>
    </xf>
    <xf numFmtId="3" fontId="7" fillId="22" borderId="59" xfId="4" applyNumberFormat="1" applyFont="1" applyFill="1" applyBorder="1" applyAlignment="1">
      <alignment vertical="center" wrapText="1"/>
    </xf>
    <xf numFmtId="10" fontId="4" fillId="22" borderId="30" xfId="2" applyNumberFormat="1" applyFont="1" applyFill="1" applyBorder="1" applyAlignment="1">
      <alignment horizontal="right" vertical="center" wrapText="1"/>
    </xf>
    <xf numFmtId="4" fontId="7" fillId="22" borderId="59" xfId="4" applyNumberFormat="1" applyFont="1" applyFill="1" applyBorder="1" applyAlignment="1">
      <alignment vertical="center" wrapText="1"/>
    </xf>
    <xf numFmtId="10" fontId="4" fillId="22" borderId="30" xfId="2" applyNumberFormat="1" applyFont="1" applyFill="1" applyBorder="1" applyAlignment="1">
      <alignment vertical="center" wrapText="1"/>
    </xf>
    <xf numFmtId="10" fontId="4" fillId="22" borderId="35" xfId="2" applyNumberFormat="1" applyFont="1" applyFill="1" applyBorder="1" applyAlignment="1">
      <alignment vertical="center" wrapText="1"/>
    </xf>
    <xf numFmtId="3" fontId="7" fillId="22" borderId="17" xfId="4" applyNumberFormat="1" applyFont="1" applyFill="1" applyBorder="1" applyAlignment="1">
      <alignment vertical="center" wrapText="1"/>
    </xf>
    <xf numFmtId="3" fontId="7" fillId="22" borderId="29" xfId="4" applyNumberFormat="1" applyFont="1" applyFill="1" applyBorder="1" applyAlignment="1">
      <alignment vertical="center" wrapText="1"/>
    </xf>
    <xf numFmtId="3" fontId="7" fillId="22" borderId="30" xfId="4" applyNumberFormat="1" applyFont="1" applyFill="1" applyBorder="1" applyAlignment="1">
      <alignment vertical="center" wrapText="1"/>
    </xf>
    <xf numFmtId="0" fontId="4" fillId="22" borderId="59" xfId="4" applyFont="1" applyFill="1" applyBorder="1" applyAlignment="1">
      <alignment vertical="center" wrapText="1"/>
    </xf>
    <xf numFmtId="0" fontId="4" fillId="22" borderId="30" xfId="4" applyFont="1" applyFill="1" applyBorder="1" applyAlignment="1">
      <alignment vertical="center" wrapText="1"/>
    </xf>
    <xf numFmtId="10" fontId="4" fillId="23" borderId="30" xfId="2" applyNumberFormat="1" applyFont="1" applyFill="1" applyBorder="1" applyAlignment="1">
      <alignment vertical="center" wrapText="1"/>
    </xf>
    <xf numFmtId="3" fontId="4" fillId="23" borderId="29" xfId="4" applyNumberFormat="1" applyFont="1" applyFill="1" applyBorder="1" applyAlignment="1">
      <alignment horizontal="center" vertical="center" wrapText="1"/>
    </xf>
    <xf numFmtId="9" fontId="4" fillId="23" borderId="32" xfId="2" applyFont="1" applyFill="1" applyBorder="1" applyAlignment="1">
      <alignment horizontal="center" vertical="center" wrapText="1"/>
    </xf>
    <xf numFmtId="9" fontId="7" fillId="23" borderId="30" xfId="2" applyFont="1" applyFill="1" applyBorder="1" applyAlignment="1">
      <alignment horizontal="center" vertical="center" wrapText="1"/>
    </xf>
    <xf numFmtId="3" fontId="7" fillId="23" borderId="17" xfId="4" applyNumberFormat="1" applyFont="1" applyFill="1" applyBorder="1" applyAlignment="1">
      <alignment vertical="center" wrapText="1"/>
    </xf>
    <xf numFmtId="0" fontId="39" fillId="34" borderId="62" xfId="0" applyFont="1" applyFill="1" applyBorder="1" applyAlignment="1">
      <alignment vertical="center" wrapText="1"/>
    </xf>
    <xf numFmtId="0" fontId="23" fillId="0" borderId="63" xfId="0" applyFont="1" applyBorder="1" applyAlignment="1">
      <alignment horizontal="center" vertical="center" wrapText="1"/>
    </xf>
    <xf numFmtId="1" fontId="4" fillId="0" borderId="29" xfId="4" applyNumberFormat="1" applyFont="1" applyBorder="1" applyAlignment="1">
      <alignment horizontal="center" vertical="center" wrapText="1"/>
    </xf>
    <xf numFmtId="1" fontId="4" fillId="0" borderId="30" xfId="4" applyNumberFormat="1" applyFont="1" applyBorder="1" applyAlignment="1">
      <alignment horizontal="center" vertical="center" wrapText="1"/>
    </xf>
    <xf numFmtId="1" fontId="4" fillId="0" borderId="17" xfId="4" applyNumberFormat="1" applyFont="1" applyBorder="1" applyAlignment="1">
      <alignment horizontal="center" vertical="center" wrapText="1"/>
    </xf>
    <xf numFmtId="3" fontId="4" fillId="0" borderId="29" xfId="4" applyNumberFormat="1" applyFont="1" applyBorder="1" applyAlignment="1">
      <alignment vertical="center" wrapText="1"/>
    </xf>
    <xf numFmtId="0" fontId="7" fillId="0" borderId="29" xfId="4" applyFont="1" applyBorder="1" applyAlignment="1">
      <alignment horizontal="center" vertical="center" wrapText="1"/>
    </xf>
    <xf numFmtId="0" fontId="4" fillId="0" borderId="30" xfId="4" applyFont="1" applyBorder="1" applyAlignment="1">
      <alignment horizontal="center" vertical="center" wrapText="1"/>
    </xf>
    <xf numFmtId="3" fontId="4" fillId="0" borderId="17" xfId="4" applyNumberFormat="1" applyFont="1" applyBorder="1" applyAlignment="1">
      <alignment vertical="center" wrapText="1"/>
    </xf>
    <xf numFmtId="14" fontId="4" fillId="0" borderId="29" xfId="4" applyNumberFormat="1" applyFont="1" applyBorder="1" applyAlignment="1">
      <alignment vertical="center" wrapText="1"/>
    </xf>
    <xf numFmtId="10" fontId="4" fillId="0" borderId="30" xfId="2" applyNumberFormat="1" applyFont="1" applyFill="1" applyBorder="1" applyAlignment="1">
      <alignment vertical="center" wrapText="1"/>
    </xf>
    <xf numFmtId="3" fontId="4" fillId="0" borderId="30" xfId="4" applyNumberFormat="1" applyFont="1" applyBorder="1" applyAlignment="1">
      <alignment horizontal="center" vertical="center" wrapText="1"/>
    </xf>
    <xf numFmtId="3" fontId="7" fillId="0" borderId="30" xfId="4" applyNumberFormat="1" applyFont="1" applyBorder="1" applyAlignment="1">
      <alignment vertical="center" wrapText="1"/>
    </xf>
    <xf numFmtId="166" fontId="7" fillId="0" borderId="17" xfId="3" applyNumberFormat="1" applyFont="1" applyFill="1" applyBorder="1" applyAlignment="1">
      <alignment vertical="center" wrapText="1"/>
    </xf>
    <xf numFmtId="3" fontId="7" fillId="0" borderId="59" xfId="4" applyNumberFormat="1" applyFont="1" applyBorder="1" applyAlignment="1">
      <alignment vertical="center" wrapText="1"/>
    </xf>
    <xf numFmtId="171" fontId="32" fillId="0" borderId="61" xfId="0" applyNumberFormat="1" applyFont="1" applyBorder="1" applyAlignment="1">
      <alignment horizontal="right" vertical="center"/>
    </xf>
    <xf numFmtId="9" fontId="7" fillId="0" borderId="30" xfId="2" applyFont="1" applyFill="1" applyBorder="1" applyAlignment="1">
      <alignment horizontal="center" vertical="center" wrapText="1"/>
    </xf>
    <xf numFmtId="3" fontId="7" fillId="0" borderId="17" xfId="4" applyNumberFormat="1" applyFont="1" applyBorder="1" applyAlignment="1">
      <alignment vertical="center" wrapText="1"/>
    </xf>
    <xf numFmtId="3" fontId="7" fillId="0" borderId="29" xfId="4" applyNumberFormat="1" applyFont="1" applyBorder="1" applyAlignment="1">
      <alignment vertical="center" wrapText="1"/>
    </xf>
    <xf numFmtId="3" fontId="4" fillId="0" borderId="30" xfId="4" applyNumberFormat="1" applyFont="1" applyBorder="1" applyAlignment="1">
      <alignment vertical="center" wrapText="1"/>
    </xf>
    <xf numFmtId="0" fontId="4" fillId="0" borderId="59" xfId="4" applyFont="1" applyBorder="1" applyAlignment="1">
      <alignment vertical="center" wrapText="1"/>
    </xf>
    <xf numFmtId="0" fontId="4" fillId="0" borderId="30" xfId="4" applyFont="1" applyBorder="1" applyAlignment="1">
      <alignment vertical="center" wrapText="1"/>
    </xf>
    <xf numFmtId="171" fontId="25" fillId="0" borderId="78" xfId="0" applyNumberFormat="1" applyFont="1" applyBorder="1" applyAlignment="1">
      <alignment horizontal="right" vertical="center"/>
    </xf>
    <xf numFmtId="171" fontId="25" fillId="0" borderId="69" xfId="0" applyNumberFormat="1" applyFont="1" applyBorder="1" applyAlignment="1">
      <alignment horizontal="right" vertical="center"/>
    </xf>
    <xf numFmtId="171" fontId="32" fillId="0" borderId="0" xfId="0" applyNumberFormat="1" applyFont="1" applyAlignment="1">
      <alignment horizontal="right" vertical="center"/>
    </xf>
    <xf numFmtId="171" fontId="6" fillId="0" borderId="61" xfId="0" applyNumberFormat="1" applyFont="1" applyBorder="1" applyAlignment="1">
      <alignment horizontal="right" vertical="center"/>
    </xf>
    <xf numFmtId="4" fontId="7" fillId="23" borderId="59" xfId="4" applyNumberFormat="1" applyFont="1" applyFill="1" applyBorder="1" applyAlignment="1">
      <alignment vertical="center" wrapText="1"/>
    </xf>
    <xf numFmtId="1" fontId="7" fillId="22" borderId="29" xfId="4" applyNumberFormat="1" applyFont="1" applyFill="1" applyBorder="1" applyAlignment="1">
      <alignment horizontal="center" vertical="center" wrapText="1"/>
    </xf>
    <xf numFmtId="1" fontId="7" fillId="22" borderId="30" xfId="4" applyNumberFormat="1" applyFont="1" applyFill="1" applyBorder="1" applyAlignment="1">
      <alignment horizontal="center" vertical="center" wrapText="1"/>
    </xf>
    <xf numFmtId="1" fontId="7" fillId="22" borderId="17" xfId="4" applyNumberFormat="1" applyFont="1" applyFill="1" applyBorder="1" applyAlignment="1">
      <alignment horizontal="center" vertical="center" wrapText="1"/>
    </xf>
    <xf numFmtId="10" fontId="4" fillId="22" borderId="30" xfId="2" applyNumberFormat="1" applyFont="1" applyFill="1" applyBorder="1" applyAlignment="1">
      <alignment horizontal="center" vertical="center" wrapText="1"/>
    </xf>
    <xf numFmtId="1" fontId="7" fillId="22" borderId="29" xfId="4" applyNumberFormat="1" applyFont="1" applyFill="1" applyBorder="1" applyAlignment="1">
      <alignment vertical="center" wrapText="1"/>
    </xf>
    <xf numFmtId="14" fontId="7" fillId="22" borderId="29" xfId="4" applyNumberFormat="1" applyFont="1" applyFill="1" applyBorder="1" applyAlignment="1">
      <alignment vertical="center" wrapText="1"/>
    </xf>
    <xf numFmtId="9" fontId="7" fillId="22" borderId="29" xfId="2" applyFont="1" applyFill="1" applyBorder="1" applyAlignment="1">
      <alignment vertical="center" wrapText="1"/>
    </xf>
    <xf numFmtId="3" fontId="7" fillId="22" borderId="29" xfId="4" applyNumberFormat="1" applyFont="1" applyFill="1" applyBorder="1" applyAlignment="1">
      <alignment horizontal="center" vertical="center" wrapText="1"/>
    </xf>
    <xf numFmtId="3" fontId="7" fillId="22" borderId="30" xfId="4" applyNumberFormat="1" applyFont="1" applyFill="1" applyBorder="1" applyAlignment="1">
      <alignment horizontal="center" vertical="center" wrapText="1"/>
    </xf>
    <xf numFmtId="10" fontId="4" fillId="22" borderId="29" xfId="2" applyNumberFormat="1" applyFont="1" applyFill="1" applyBorder="1" applyAlignment="1">
      <alignment horizontal="center" vertical="center" wrapText="1"/>
    </xf>
    <xf numFmtId="171" fontId="25" fillId="35" borderId="67" xfId="0" applyNumberFormat="1" applyFont="1" applyFill="1" applyBorder="1" applyAlignment="1">
      <alignment horizontal="right" vertical="center"/>
    </xf>
    <xf numFmtId="171" fontId="34" fillId="0" borderId="61" xfId="0" applyNumberFormat="1" applyFont="1" applyBorder="1" applyAlignment="1">
      <alignment vertical="center"/>
    </xf>
    <xf numFmtId="1" fontId="4" fillId="23" borderId="29" xfId="4" applyNumberFormat="1" applyFont="1" applyFill="1" applyBorder="1" applyAlignment="1">
      <alignment vertical="center" wrapText="1"/>
    </xf>
    <xf numFmtId="9" fontId="4" fillId="23" borderId="29" xfId="2" applyFont="1" applyFill="1" applyBorder="1" applyAlignment="1">
      <alignment vertical="center" wrapText="1"/>
    </xf>
    <xf numFmtId="3" fontId="7" fillId="23" borderId="30" xfId="4" applyNumberFormat="1" applyFont="1" applyFill="1" applyBorder="1" applyAlignment="1">
      <alignment horizontal="center" vertical="center" wrapText="1"/>
    </xf>
    <xf numFmtId="3" fontId="7" fillId="0" borderId="30" xfId="4" applyNumberFormat="1" applyFont="1" applyBorder="1" applyAlignment="1">
      <alignment horizontal="center" vertical="center" wrapText="1"/>
    </xf>
    <xf numFmtId="0" fontId="6" fillId="36" borderId="71" xfId="0" applyFont="1" applyFill="1" applyBorder="1" applyAlignment="1">
      <alignment horizontal="center" vertical="center" wrapText="1"/>
    </xf>
    <xf numFmtId="3" fontId="4" fillId="0" borderId="29" xfId="4" applyNumberFormat="1" applyFont="1" applyBorder="1" applyAlignment="1">
      <alignment horizontal="center" vertical="center" wrapText="1"/>
    </xf>
    <xf numFmtId="171" fontId="25" fillId="0" borderId="71" xfId="0" applyNumberFormat="1" applyFont="1" applyBorder="1" applyAlignment="1">
      <alignment horizontal="right" vertical="center"/>
    </xf>
    <xf numFmtId="0" fontId="32" fillId="36" borderId="63" xfId="0" applyFont="1" applyFill="1" applyBorder="1" applyAlignment="1">
      <alignment horizontal="center" vertical="center" wrapText="1"/>
    </xf>
    <xf numFmtId="0" fontId="4" fillId="0" borderId="29" xfId="4" applyFont="1" applyBorder="1" applyAlignment="1">
      <alignment horizontal="center" vertical="center" wrapText="1"/>
    </xf>
    <xf numFmtId="171" fontId="25" fillId="36" borderId="67" xfId="0" applyNumberFormat="1" applyFont="1" applyFill="1" applyBorder="1" applyAlignment="1">
      <alignment horizontal="right" vertical="center"/>
    </xf>
    <xf numFmtId="10" fontId="7" fillId="23" borderId="59" xfId="2" applyNumberFormat="1" applyFont="1" applyFill="1" applyBorder="1" applyAlignment="1">
      <alignment vertical="center" wrapText="1"/>
    </xf>
    <xf numFmtId="10" fontId="7" fillId="23" borderId="30" xfId="2" applyNumberFormat="1" applyFont="1" applyFill="1" applyBorder="1" applyAlignment="1">
      <alignment horizontal="center" vertical="center" wrapText="1"/>
    </xf>
    <xf numFmtId="0" fontId="23" fillId="0" borderId="74" xfId="0" applyFont="1" applyBorder="1" applyAlignment="1">
      <alignment horizontal="center" vertical="center"/>
    </xf>
    <xf numFmtId="0" fontId="23" fillId="0" borderId="62" xfId="0" applyFont="1" applyBorder="1" applyAlignment="1">
      <alignment horizontal="center" vertical="center"/>
    </xf>
    <xf numFmtId="0" fontId="32" fillId="35" borderId="71" xfId="0" applyFont="1" applyFill="1" applyBorder="1" applyAlignment="1">
      <alignment horizontal="center" vertical="center" wrapText="1"/>
    </xf>
    <xf numFmtId="9" fontId="4" fillId="0" borderId="30" xfId="2" applyFont="1" applyFill="1" applyBorder="1" applyAlignment="1">
      <alignment vertical="center" wrapText="1"/>
    </xf>
    <xf numFmtId="0" fontId="39" fillId="35" borderId="62" xfId="0" applyFont="1" applyFill="1" applyBorder="1" applyAlignment="1">
      <alignment vertical="center" wrapText="1"/>
    </xf>
    <xf numFmtId="171" fontId="25" fillId="34" borderId="59" xfId="0" applyNumberFormat="1" applyFont="1" applyFill="1" applyBorder="1" applyAlignment="1">
      <alignment horizontal="right" vertical="center"/>
    </xf>
    <xf numFmtId="10" fontId="7" fillId="0" borderId="30" xfId="2" applyNumberFormat="1" applyFont="1" applyFill="1" applyBorder="1" applyAlignment="1">
      <alignment horizontal="center" vertical="center" wrapText="1"/>
    </xf>
    <xf numFmtId="0" fontId="23" fillId="0" borderId="0" xfId="0" applyFont="1" applyAlignment="1">
      <alignment horizontal="center" vertical="center" wrapText="1"/>
    </xf>
    <xf numFmtId="3" fontId="4" fillId="64" borderId="19" xfId="4" applyNumberFormat="1" applyFont="1" applyFill="1" applyBorder="1" applyAlignment="1">
      <alignment vertical="center" wrapText="1"/>
    </xf>
    <xf numFmtId="1" fontId="4" fillId="64" borderId="27" xfId="4" applyNumberFormat="1" applyFont="1" applyFill="1" applyBorder="1" applyAlignment="1">
      <alignment horizontal="center" vertical="center" wrapText="1"/>
    </xf>
    <xf numFmtId="1" fontId="4" fillId="64" borderId="35" xfId="4" applyNumberFormat="1" applyFont="1" applyFill="1" applyBorder="1" applyAlignment="1">
      <alignment horizontal="center" vertical="center" wrapText="1"/>
    </xf>
    <xf numFmtId="1" fontId="4" fillId="64" borderId="19" xfId="4" applyNumberFormat="1" applyFont="1" applyFill="1" applyBorder="1" applyAlignment="1">
      <alignment horizontal="center" vertical="center" wrapText="1"/>
    </xf>
    <xf numFmtId="3" fontId="4" fillId="64" borderId="29" xfId="4" applyNumberFormat="1" applyFont="1" applyFill="1" applyBorder="1" applyAlignment="1">
      <alignment vertical="center" wrapText="1"/>
    </xf>
    <xf numFmtId="3" fontId="4" fillId="64" borderId="29" xfId="4" applyNumberFormat="1" applyFont="1" applyFill="1" applyBorder="1" applyAlignment="1">
      <alignment horizontal="center" vertical="center" wrapText="1"/>
    </xf>
    <xf numFmtId="3" fontId="4" fillId="64" borderId="30" xfId="4" applyNumberFormat="1" applyFont="1" applyFill="1" applyBorder="1" applyAlignment="1">
      <alignment horizontal="center" vertical="center" wrapText="1"/>
    </xf>
    <xf numFmtId="9" fontId="7" fillId="64" borderId="35" xfId="2" applyFont="1" applyFill="1" applyBorder="1" applyAlignment="1">
      <alignment horizontal="center" vertical="center" wrapText="1"/>
    </xf>
    <xf numFmtId="9" fontId="7" fillId="64" borderId="59" xfId="2" applyFont="1" applyFill="1" applyBorder="1" applyAlignment="1">
      <alignment horizontal="center" vertical="center" wrapText="1"/>
    </xf>
    <xf numFmtId="10" fontId="4" fillId="64" borderId="30" xfId="2" applyNumberFormat="1" applyFont="1" applyFill="1" applyBorder="1" applyAlignment="1">
      <alignment horizontal="right" vertical="center" wrapText="1"/>
    </xf>
    <xf numFmtId="10" fontId="4" fillId="64" borderId="30" xfId="2" applyNumberFormat="1" applyFont="1" applyFill="1" applyBorder="1" applyAlignment="1">
      <alignment vertical="center" wrapText="1"/>
    </xf>
    <xf numFmtId="10" fontId="4" fillId="64" borderId="35" xfId="2" applyNumberFormat="1" applyFont="1" applyFill="1" applyBorder="1" applyAlignment="1">
      <alignment vertical="center" wrapText="1"/>
    </xf>
    <xf numFmtId="3" fontId="7" fillId="64" borderId="30" xfId="4" applyNumberFormat="1" applyFont="1" applyFill="1" applyBorder="1" applyAlignment="1">
      <alignment horizontal="center" vertical="center" wrapText="1"/>
    </xf>
    <xf numFmtId="3" fontId="7" fillId="64" borderId="17" xfId="4" applyNumberFormat="1" applyFont="1" applyFill="1" applyBorder="1" applyAlignment="1">
      <alignment vertical="center" wrapText="1"/>
    </xf>
    <xf numFmtId="3" fontId="7" fillId="64" borderId="29" xfId="4" applyNumberFormat="1" applyFont="1" applyFill="1" applyBorder="1" applyAlignment="1">
      <alignment vertical="center" wrapText="1"/>
    </xf>
    <xf numFmtId="3" fontId="7" fillId="64" borderId="30" xfId="4" applyNumberFormat="1" applyFont="1" applyFill="1" applyBorder="1" applyAlignment="1">
      <alignment vertical="center" wrapText="1"/>
    </xf>
    <xf numFmtId="3" fontId="7" fillId="64" borderId="59" xfId="4" applyNumberFormat="1" applyFont="1" applyFill="1" applyBorder="1" applyAlignment="1">
      <alignment vertical="center" wrapText="1"/>
    </xf>
    <xf numFmtId="0" fontId="4" fillId="64" borderId="59" xfId="4" applyFont="1" applyFill="1" applyBorder="1" applyAlignment="1">
      <alignment vertical="center" wrapText="1"/>
    </xf>
    <xf numFmtId="0" fontId="4" fillId="64" borderId="30" xfId="4" applyFont="1" applyFill="1" applyBorder="1" applyAlignment="1">
      <alignment vertical="center" wrapText="1"/>
    </xf>
    <xf numFmtId="170" fontId="4" fillId="22" borderId="30" xfId="2" applyNumberFormat="1" applyFont="1" applyFill="1" applyBorder="1" applyAlignment="1">
      <alignment horizontal="center" vertical="center" wrapText="1"/>
    </xf>
    <xf numFmtId="3" fontId="4" fillId="22" borderId="31" xfId="4" applyNumberFormat="1" applyFont="1" applyFill="1" applyBorder="1" applyAlignment="1">
      <alignment vertical="center" wrapText="1"/>
    </xf>
    <xf numFmtId="14" fontId="4" fillId="22" borderId="29" xfId="4" applyNumberFormat="1" applyFont="1" applyFill="1" applyBorder="1" applyAlignment="1">
      <alignment vertical="center" wrapText="1"/>
    </xf>
    <xf numFmtId="3" fontId="4" fillId="22" borderId="31" xfId="4" applyNumberFormat="1" applyFont="1" applyFill="1" applyBorder="1" applyAlignment="1">
      <alignment horizontal="center" vertical="center" wrapText="1"/>
    </xf>
    <xf numFmtId="170" fontId="4" fillId="22" borderId="29" xfId="2" applyNumberFormat="1" applyFont="1" applyFill="1" applyBorder="1" applyAlignment="1">
      <alignment horizontal="center" vertical="center" wrapText="1"/>
    </xf>
    <xf numFmtId="10" fontId="4" fillId="22" borderId="32" xfId="2" applyNumberFormat="1" applyFont="1" applyFill="1" applyBorder="1" applyAlignment="1">
      <alignment vertical="center" wrapText="1"/>
    </xf>
    <xf numFmtId="0" fontId="39" fillId="39" borderId="62" xfId="0" applyFont="1" applyFill="1" applyBorder="1" applyAlignment="1">
      <alignment vertical="center" wrapText="1"/>
    </xf>
    <xf numFmtId="0" fontId="39" fillId="39" borderId="74" xfId="0" applyFont="1" applyFill="1" applyBorder="1" applyAlignment="1">
      <alignment horizontal="center" vertical="center"/>
    </xf>
    <xf numFmtId="171" fontId="25" fillId="39" borderId="71" xfId="0" applyNumberFormat="1" applyFont="1" applyFill="1" applyBorder="1" applyAlignment="1">
      <alignment horizontal="right" vertical="center"/>
    </xf>
    <xf numFmtId="0" fontId="39" fillId="37" borderId="0" xfId="0" applyFont="1" applyFill="1" applyAlignment="1">
      <alignment horizontal="center" vertical="center" wrapText="1"/>
    </xf>
    <xf numFmtId="0" fontId="32" fillId="39" borderId="66" xfId="0" applyFont="1" applyFill="1" applyBorder="1" applyAlignment="1">
      <alignment horizontal="center" vertical="center" wrapText="1"/>
    </xf>
    <xf numFmtId="0" fontId="39" fillId="0" borderId="75" xfId="0" applyFont="1" applyBorder="1" applyAlignment="1">
      <alignment horizontal="center" vertical="center"/>
    </xf>
    <xf numFmtId="0" fontId="39" fillId="0" borderId="72" xfId="0" applyFont="1" applyBorder="1" applyAlignment="1">
      <alignment horizontal="center" vertical="center"/>
    </xf>
    <xf numFmtId="3" fontId="7" fillId="23" borderId="32" xfId="4" applyNumberFormat="1" applyFont="1" applyFill="1" applyBorder="1" applyAlignment="1">
      <alignment horizontal="center" vertical="center" wrapText="1"/>
    </xf>
    <xf numFmtId="3" fontId="7" fillId="23" borderId="18" xfId="4" applyNumberFormat="1" applyFont="1" applyFill="1" applyBorder="1" applyAlignment="1">
      <alignment vertical="center" wrapText="1"/>
    </xf>
    <xf numFmtId="0" fontId="39" fillId="0" borderId="72" xfId="0" applyFont="1" applyBorder="1" applyAlignment="1">
      <alignment vertical="center" wrapText="1"/>
    </xf>
    <xf numFmtId="0" fontId="23" fillId="25" borderId="0" xfId="0" applyFont="1" applyFill="1" applyAlignment="1">
      <alignment horizontal="center" vertical="center" wrapText="1"/>
    </xf>
    <xf numFmtId="3" fontId="4" fillId="0" borderId="31" xfId="4" applyNumberFormat="1" applyFont="1" applyBorder="1" applyAlignment="1">
      <alignment vertical="center" wrapText="1"/>
    </xf>
    <xf numFmtId="3" fontId="4" fillId="0" borderId="31" xfId="4" applyNumberFormat="1" applyFont="1" applyBorder="1" applyAlignment="1">
      <alignment horizontal="center" vertical="center" wrapText="1"/>
    </xf>
    <xf numFmtId="9" fontId="23" fillId="0" borderId="62" xfId="0" applyNumberFormat="1" applyFont="1" applyBorder="1" applyAlignment="1">
      <alignment horizontal="center" vertical="center"/>
    </xf>
    <xf numFmtId="171" fontId="23" fillId="41" borderId="71" xfId="0" applyNumberFormat="1" applyFont="1" applyFill="1" applyBorder="1" applyAlignment="1">
      <alignment horizontal="right" vertical="center"/>
    </xf>
    <xf numFmtId="0" fontId="25" fillId="41" borderId="69" xfId="0" applyFont="1" applyFill="1" applyBorder="1" applyAlignment="1">
      <alignment horizontal="right" vertical="center"/>
    </xf>
    <xf numFmtId="3" fontId="7" fillId="0" borderId="31" xfId="4" applyNumberFormat="1" applyFont="1" applyBorder="1" applyAlignment="1">
      <alignment vertical="center" wrapText="1"/>
    </xf>
    <xf numFmtId="3" fontId="4" fillId="0" borderId="32" xfId="4" applyNumberFormat="1" applyFont="1" applyBorder="1" applyAlignment="1">
      <alignment vertical="center" wrapText="1"/>
    </xf>
    <xf numFmtId="3" fontId="7" fillId="0" borderId="32" xfId="4" applyNumberFormat="1" applyFont="1" applyBorder="1" applyAlignment="1">
      <alignment horizontal="center" vertical="center" wrapText="1"/>
    </xf>
    <xf numFmtId="3" fontId="7" fillId="0" borderId="18" xfId="4" applyNumberFormat="1" applyFont="1" applyBorder="1" applyAlignment="1">
      <alignment vertical="center" wrapText="1"/>
    </xf>
    <xf numFmtId="0" fontId="6" fillId="41" borderId="71" xfId="0" applyFont="1" applyFill="1" applyBorder="1" applyAlignment="1">
      <alignment horizontal="center" vertical="center" wrapText="1"/>
    </xf>
    <xf numFmtId="3" fontId="4" fillId="0" borderId="33" xfId="4" applyNumberFormat="1" applyFont="1" applyBorder="1" applyAlignment="1">
      <alignment vertical="center" wrapText="1"/>
    </xf>
    <xf numFmtId="0" fontId="25" fillId="41" borderId="71" xfId="0" applyFont="1" applyFill="1" applyBorder="1" applyAlignment="1">
      <alignment horizontal="right" vertical="center"/>
    </xf>
    <xf numFmtId="0" fontId="39" fillId="42" borderId="72" xfId="0" applyFont="1" applyFill="1" applyBorder="1" applyAlignment="1">
      <alignment vertical="center" wrapText="1"/>
    </xf>
    <xf numFmtId="0" fontId="23" fillId="26" borderId="0" xfId="0" applyFont="1" applyFill="1" applyAlignment="1">
      <alignment horizontal="center" vertical="center" wrapText="1"/>
    </xf>
    <xf numFmtId="171" fontId="6" fillId="0" borderId="71" xfId="0" applyNumberFormat="1" applyFont="1" applyBorder="1" applyAlignment="1">
      <alignment horizontal="right" vertical="center"/>
    </xf>
    <xf numFmtId="0" fontId="32" fillId="42" borderId="71" xfId="0" applyFont="1" applyFill="1" applyBorder="1" applyAlignment="1">
      <alignment horizontal="center" vertical="center" wrapText="1"/>
    </xf>
    <xf numFmtId="0" fontId="7" fillId="23" borderId="29" xfId="4" applyFont="1" applyFill="1" applyBorder="1" applyAlignment="1">
      <alignment horizontal="center" vertical="center" wrapText="1"/>
    </xf>
    <xf numFmtId="0" fontId="4" fillId="23" borderId="30" xfId="4" applyFont="1" applyFill="1" applyBorder="1" applyAlignment="1">
      <alignment horizontal="center" vertical="center" wrapText="1"/>
    </xf>
    <xf numFmtId="3" fontId="4" fillId="23" borderId="27" xfId="4" applyNumberFormat="1" applyFont="1" applyFill="1" applyBorder="1" applyAlignment="1">
      <alignment horizontal="center" vertical="center" wrapText="1"/>
    </xf>
    <xf numFmtId="0" fontId="23" fillId="27" borderId="0" xfId="0" applyFont="1" applyFill="1" applyAlignment="1">
      <alignment horizontal="center" vertical="center" wrapText="1"/>
    </xf>
    <xf numFmtId="3" fontId="4" fillId="0" borderId="27" xfId="4" applyNumberFormat="1" applyFont="1" applyBorder="1" applyAlignment="1">
      <alignment vertical="center" wrapText="1"/>
    </xf>
    <xf numFmtId="9" fontId="23" fillId="0" borderId="30" xfId="0" applyNumberFormat="1" applyFont="1" applyBorder="1" applyAlignment="1">
      <alignment horizontal="center" vertical="center"/>
    </xf>
    <xf numFmtId="166" fontId="7" fillId="0" borderId="59" xfId="3" applyNumberFormat="1" applyFont="1" applyFill="1" applyBorder="1" applyAlignment="1">
      <alignment vertical="center" wrapText="1"/>
    </xf>
    <xf numFmtId="0" fontId="32" fillId="41" borderId="71" xfId="0" applyFont="1" applyFill="1" applyBorder="1" applyAlignment="1">
      <alignment horizontal="center" vertical="center" wrapText="1"/>
    </xf>
    <xf numFmtId="0" fontId="23" fillId="27" borderId="63" xfId="0" applyFont="1" applyFill="1" applyBorder="1" applyAlignment="1">
      <alignment horizontal="center" vertical="center" wrapText="1"/>
    </xf>
    <xf numFmtId="0" fontId="32" fillId="3" borderId="97" xfId="0" applyFont="1" applyFill="1" applyBorder="1" applyAlignment="1">
      <alignment vertical="center" wrapText="1"/>
    </xf>
    <xf numFmtId="9" fontId="32" fillId="3" borderId="97" xfId="0" applyNumberFormat="1" applyFont="1" applyFill="1" applyBorder="1" applyAlignment="1">
      <alignment horizontal="center" vertical="center" wrapText="1"/>
    </xf>
    <xf numFmtId="171" fontId="43" fillId="0" borderId="71" xfId="0" applyNumberFormat="1" applyFont="1" applyBorder="1" applyAlignment="1">
      <alignment horizontal="right" vertical="center"/>
    </xf>
    <xf numFmtId="0" fontId="32" fillId="3" borderId="98" xfId="0" applyFont="1" applyFill="1" applyBorder="1" applyAlignment="1">
      <alignment vertical="center" wrapText="1"/>
    </xf>
    <xf numFmtId="171" fontId="44" fillId="39" borderId="71" xfId="0" applyNumberFormat="1" applyFont="1" applyFill="1" applyBorder="1" applyAlignment="1">
      <alignment horizontal="right" vertical="center"/>
    </xf>
    <xf numFmtId="171" fontId="34" fillId="0" borderId="61" xfId="0" applyNumberFormat="1" applyFont="1" applyBorder="1" applyAlignment="1">
      <alignment horizontal="right" vertical="center"/>
    </xf>
    <xf numFmtId="3" fontId="4" fillId="0" borderId="27" xfId="4" applyNumberFormat="1" applyFont="1" applyBorder="1" applyAlignment="1">
      <alignment horizontal="center" vertical="center" wrapText="1"/>
    </xf>
    <xf numFmtId="3" fontId="7" fillId="0" borderId="35" xfId="4" applyNumberFormat="1" applyFont="1" applyBorder="1" applyAlignment="1">
      <alignment vertical="center" wrapText="1"/>
    </xf>
    <xf numFmtId="166" fontId="7" fillId="0" borderId="58" xfId="3" applyNumberFormat="1" applyFont="1" applyFill="1" applyBorder="1" applyAlignment="1">
      <alignment vertical="center" wrapText="1"/>
    </xf>
    <xf numFmtId="3" fontId="4" fillId="0" borderId="35" xfId="4" applyNumberFormat="1" applyFont="1" applyBorder="1" applyAlignment="1">
      <alignment vertical="center" wrapText="1"/>
    </xf>
    <xf numFmtId="3" fontId="7" fillId="0" borderId="35" xfId="4" applyNumberFormat="1" applyFont="1" applyBorder="1" applyAlignment="1">
      <alignment horizontal="center" vertical="center" wrapText="1"/>
    </xf>
    <xf numFmtId="3" fontId="7" fillId="0" borderId="27" xfId="4" applyNumberFormat="1" applyFont="1" applyBorder="1" applyAlignment="1">
      <alignment vertical="center" wrapText="1"/>
    </xf>
    <xf numFmtId="0" fontId="39" fillId="39" borderId="30" xfId="0" applyFont="1" applyFill="1" applyBorder="1" applyAlignment="1">
      <alignment vertical="center" wrapText="1"/>
    </xf>
    <xf numFmtId="0" fontId="23" fillId="26" borderId="74" xfId="0" applyFont="1" applyFill="1" applyBorder="1" applyAlignment="1">
      <alignment horizontal="center" vertical="center"/>
    </xf>
    <xf numFmtId="0" fontId="23" fillId="26" borderId="62" xfId="0" applyFont="1" applyFill="1" applyBorder="1" applyAlignment="1">
      <alignment horizontal="center" vertical="center"/>
    </xf>
    <xf numFmtId="9" fontId="7" fillId="64" borderId="30" xfId="2" applyFont="1" applyFill="1" applyBorder="1" applyAlignment="1">
      <alignment horizontal="center" vertical="center" wrapText="1"/>
    </xf>
    <xf numFmtId="10" fontId="7" fillId="23" borderId="30" xfId="2" applyNumberFormat="1" applyFont="1" applyFill="1" applyBorder="1" applyAlignment="1">
      <alignment vertical="center" wrapText="1"/>
    </xf>
    <xf numFmtId="0" fontId="6" fillId="44" borderId="72" xfId="0" applyFont="1" applyFill="1" applyBorder="1" applyAlignment="1">
      <alignment horizontal="left" vertical="center" wrapText="1"/>
    </xf>
    <xf numFmtId="0" fontId="44" fillId="44" borderId="71" xfId="0" applyFont="1" applyFill="1" applyBorder="1" applyAlignment="1">
      <alignment horizontal="right" vertical="center"/>
    </xf>
    <xf numFmtId="9" fontId="23" fillId="0" borderId="71" xfId="0" applyNumberFormat="1" applyFont="1" applyBorder="1" applyAlignment="1">
      <alignment horizontal="center" vertical="center"/>
    </xf>
    <xf numFmtId="0" fontId="32" fillId="43" borderId="71" xfId="0" applyFont="1" applyFill="1" applyBorder="1" applyAlignment="1">
      <alignment horizontal="center" vertical="center" wrapText="1"/>
    </xf>
    <xf numFmtId="1" fontId="4" fillId="23" borderId="59" xfId="4" applyNumberFormat="1" applyFont="1" applyFill="1" applyBorder="1" applyAlignment="1">
      <alignment horizontal="center" vertical="center" wrapText="1"/>
    </xf>
    <xf numFmtId="0" fontId="39" fillId="45" borderId="72" xfId="0" applyFont="1" applyFill="1" applyBorder="1" applyAlignment="1">
      <alignment vertical="center" wrapText="1"/>
    </xf>
    <xf numFmtId="0" fontId="32" fillId="3" borderId="29" xfId="0" applyFont="1" applyFill="1" applyBorder="1" applyAlignment="1">
      <alignment horizontal="center" vertical="center" wrapText="1"/>
    </xf>
    <xf numFmtId="0" fontId="32" fillId="3" borderId="30" xfId="0" applyFont="1" applyFill="1" applyBorder="1" applyAlignment="1">
      <alignment horizontal="center" vertical="center" wrapText="1"/>
    </xf>
    <xf numFmtId="1" fontId="4" fillId="22" borderId="27" xfId="4" applyNumberFormat="1" applyFont="1" applyFill="1" applyBorder="1" applyAlignment="1">
      <alignment horizontal="center" vertical="center" wrapText="1"/>
    </xf>
    <xf numFmtId="1" fontId="4" fillId="22" borderId="35" xfId="4" applyNumberFormat="1" applyFont="1" applyFill="1" applyBorder="1" applyAlignment="1">
      <alignment horizontal="center" vertical="center" wrapText="1"/>
    </xf>
    <xf numFmtId="0" fontId="23" fillId="28" borderId="0" xfId="0" applyFont="1" applyFill="1" applyAlignment="1">
      <alignment horizontal="center" vertical="center" wrapText="1"/>
    </xf>
    <xf numFmtId="9" fontId="32" fillId="3" borderId="99" xfId="0" applyNumberFormat="1" applyFont="1" applyFill="1" applyBorder="1" applyAlignment="1">
      <alignment horizontal="center" vertical="center" wrapText="1"/>
    </xf>
    <xf numFmtId="9" fontId="32" fillId="3" borderId="100" xfId="0" applyNumberFormat="1" applyFont="1" applyFill="1" applyBorder="1" applyAlignment="1">
      <alignment horizontal="center" vertical="center" wrapText="1"/>
    </xf>
    <xf numFmtId="9" fontId="23" fillId="28" borderId="62" xfId="0" applyNumberFormat="1" applyFont="1" applyFill="1" applyBorder="1" applyAlignment="1">
      <alignment horizontal="center" vertical="center"/>
    </xf>
    <xf numFmtId="0" fontId="23" fillId="28" borderId="63" xfId="0" applyFont="1" applyFill="1" applyBorder="1" applyAlignment="1">
      <alignment horizontal="center" vertical="center" wrapText="1"/>
    </xf>
    <xf numFmtId="0" fontId="32" fillId="3" borderId="101" xfId="0" applyFont="1" applyFill="1" applyBorder="1" applyAlignment="1">
      <alignment horizontal="center" vertical="center" wrapText="1"/>
    </xf>
    <xf numFmtId="0" fontId="32" fillId="3" borderId="102" xfId="0" applyFont="1" applyFill="1" applyBorder="1" applyAlignment="1">
      <alignment horizontal="center" vertical="center" wrapText="1"/>
    </xf>
    <xf numFmtId="0" fontId="32" fillId="3" borderId="103" xfId="0" applyFont="1" applyFill="1" applyBorder="1" applyAlignment="1">
      <alignment horizontal="center" vertical="center" wrapText="1"/>
    </xf>
    <xf numFmtId="0" fontId="32" fillId="3" borderId="104" xfId="0" applyFont="1" applyFill="1" applyBorder="1" applyAlignment="1">
      <alignment horizontal="center" vertical="center" wrapText="1"/>
    </xf>
    <xf numFmtId="10" fontId="4" fillId="23" borderId="32" xfId="2" applyNumberFormat="1" applyFont="1" applyFill="1" applyBorder="1" applyAlignment="1">
      <alignment vertical="center" wrapText="1"/>
    </xf>
    <xf numFmtId="171" fontId="44" fillId="0" borderId="71" xfId="0" applyNumberFormat="1" applyFont="1" applyBorder="1" applyAlignment="1">
      <alignment horizontal="right" vertical="center"/>
    </xf>
    <xf numFmtId="3" fontId="7" fillId="0" borderId="32" xfId="4" applyNumberFormat="1" applyFont="1" applyBorder="1" applyAlignment="1">
      <alignment vertical="center" wrapText="1"/>
    </xf>
    <xf numFmtId="10" fontId="4" fillId="0" borderId="32" xfId="2" applyNumberFormat="1" applyFont="1" applyFill="1" applyBorder="1" applyAlignment="1">
      <alignment vertical="center" wrapText="1"/>
    </xf>
    <xf numFmtId="10" fontId="7" fillId="0" borderId="32" xfId="2" applyNumberFormat="1" applyFont="1" applyFill="1" applyBorder="1" applyAlignment="1">
      <alignment horizontal="center" vertical="center" wrapText="1"/>
    </xf>
    <xf numFmtId="0" fontId="23" fillId="29" borderId="0" xfId="0" applyFont="1" applyFill="1" applyAlignment="1">
      <alignment horizontal="center" vertical="center" wrapText="1"/>
    </xf>
    <xf numFmtId="171" fontId="44" fillId="44" borderId="71" xfId="0" applyNumberFormat="1" applyFont="1" applyFill="1" applyBorder="1" applyAlignment="1">
      <alignment horizontal="right" vertical="center"/>
    </xf>
    <xf numFmtId="171" fontId="44" fillId="44" borderId="69" xfId="0" applyNumberFormat="1" applyFont="1" applyFill="1" applyBorder="1" applyAlignment="1">
      <alignment horizontal="right" vertical="center"/>
    </xf>
    <xf numFmtId="0" fontId="23" fillId="29" borderId="74" xfId="0" applyFont="1" applyFill="1" applyBorder="1" applyAlignment="1">
      <alignment horizontal="center" vertical="center"/>
    </xf>
    <xf numFmtId="0" fontId="6" fillId="44" borderId="71" xfId="0" applyFont="1" applyFill="1" applyBorder="1" applyAlignment="1">
      <alignment horizontal="center" vertical="center" wrapText="1"/>
    </xf>
    <xf numFmtId="0" fontId="4" fillId="22" borderId="30" xfId="2" applyNumberFormat="1" applyFont="1" applyFill="1" applyBorder="1" applyAlignment="1">
      <alignment horizontal="center" vertical="center" wrapText="1"/>
    </xf>
    <xf numFmtId="0" fontId="4" fillId="22" borderId="29" xfId="2" applyNumberFormat="1" applyFont="1" applyFill="1" applyBorder="1" applyAlignment="1">
      <alignment horizontal="center" vertical="center" wrapText="1"/>
    </xf>
    <xf numFmtId="0" fontId="6" fillId="43" borderId="66" xfId="0" applyFont="1" applyFill="1" applyBorder="1" applyAlignment="1">
      <alignment horizontal="center" vertical="center" wrapText="1"/>
    </xf>
    <xf numFmtId="171" fontId="44" fillId="0" borderId="78" xfId="0" applyNumberFormat="1" applyFont="1" applyBorder="1" applyAlignment="1">
      <alignment horizontal="right" vertical="center"/>
    </xf>
    <xf numFmtId="4" fontId="7" fillId="0" borderId="32" xfId="4" applyNumberFormat="1" applyFont="1" applyBorder="1" applyAlignment="1">
      <alignment vertical="center" wrapText="1"/>
    </xf>
    <xf numFmtId="4" fontId="7" fillId="0" borderId="60" xfId="3" applyNumberFormat="1" applyFont="1" applyFill="1" applyBorder="1" applyAlignment="1">
      <alignment vertical="center" wrapText="1"/>
    </xf>
    <xf numFmtId="0" fontId="23" fillId="30" borderId="0" xfId="0" applyFont="1" applyFill="1" applyAlignment="1">
      <alignment horizontal="center" vertical="center" wrapText="1"/>
    </xf>
    <xf numFmtId="0" fontId="39" fillId="44" borderId="62" xfId="0" applyFont="1" applyFill="1" applyBorder="1" applyAlignment="1">
      <alignment vertical="center" wrapText="1"/>
    </xf>
    <xf numFmtId="0" fontId="39" fillId="44" borderId="63" xfId="0" applyFont="1" applyFill="1" applyBorder="1" applyAlignment="1">
      <alignment horizontal="center" vertical="center" wrapText="1"/>
    </xf>
    <xf numFmtId="0" fontId="4" fillId="64" borderId="31" xfId="4" applyFont="1" applyFill="1" applyBorder="1" applyAlignment="1">
      <alignment vertical="center" wrapText="1"/>
    </xf>
    <xf numFmtId="14" fontId="4" fillId="64" borderId="29" xfId="4" applyNumberFormat="1" applyFont="1" applyFill="1" applyBorder="1" applyAlignment="1">
      <alignment vertical="center" wrapText="1"/>
    </xf>
    <xf numFmtId="0" fontId="4" fillId="64" borderId="9" xfId="4" applyFont="1" applyFill="1" applyBorder="1" applyAlignment="1">
      <alignment horizontal="center" vertical="center" wrapText="1"/>
    </xf>
    <xf numFmtId="10" fontId="4" fillId="64" borderId="5" xfId="2" applyNumberFormat="1" applyFont="1" applyFill="1" applyBorder="1" applyAlignment="1">
      <alignment vertical="center" wrapText="1"/>
    </xf>
    <xf numFmtId="3" fontId="7" fillId="64" borderId="5" xfId="4" applyNumberFormat="1" applyFont="1" applyFill="1" applyBorder="1" applyAlignment="1">
      <alignment horizontal="center" vertical="center" wrapText="1"/>
    </xf>
    <xf numFmtId="3" fontId="7" fillId="64" borderId="9" xfId="4" applyNumberFormat="1" applyFont="1" applyFill="1" applyBorder="1" applyAlignment="1">
      <alignment vertical="center" wrapText="1"/>
    </xf>
    <xf numFmtId="3" fontId="7" fillId="64" borderId="27" xfId="4" applyNumberFormat="1" applyFont="1" applyFill="1" applyBorder="1" applyAlignment="1">
      <alignment vertical="center" wrapText="1"/>
    </xf>
    <xf numFmtId="3" fontId="7" fillId="64" borderId="35" xfId="4" applyNumberFormat="1" applyFont="1" applyFill="1" applyBorder="1" applyAlignment="1">
      <alignment vertical="center" wrapText="1"/>
    </xf>
    <xf numFmtId="0" fontId="4" fillId="22" borderId="31" xfId="4" applyFont="1" applyFill="1" applyBorder="1" applyAlignment="1">
      <alignment vertical="center" wrapText="1"/>
    </xf>
    <xf numFmtId="0" fontId="4" fillId="22" borderId="31" xfId="4" applyFont="1" applyFill="1" applyBorder="1" applyAlignment="1">
      <alignment horizontal="center" vertical="center" wrapText="1"/>
    </xf>
    <xf numFmtId="0" fontId="23" fillId="31" borderId="0" xfId="0" applyFont="1" applyFill="1" applyAlignment="1">
      <alignment horizontal="center" vertical="center" wrapText="1"/>
    </xf>
    <xf numFmtId="0" fontId="23" fillId="31" borderId="74" xfId="0" applyFont="1" applyFill="1" applyBorder="1" applyAlignment="1">
      <alignment horizontal="center" vertical="center"/>
    </xf>
    <xf numFmtId="0" fontId="23" fillId="31" borderId="62" xfId="0" applyFont="1" applyFill="1" applyBorder="1" applyAlignment="1">
      <alignment horizontal="center" vertical="center"/>
    </xf>
    <xf numFmtId="0" fontId="4" fillId="0" borderId="31" xfId="4" applyFont="1" applyBorder="1" applyAlignment="1">
      <alignment vertical="center" wrapText="1"/>
    </xf>
    <xf numFmtId="0" fontId="4" fillId="0" borderId="31" xfId="4" applyFont="1" applyBorder="1" applyAlignment="1">
      <alignment horizontal="center" vertical="center" wrapText="1"/>
    </xf>
    <xf numFmtId="171" fontId="44" fillId="48" borderId="78" xfId="0" applyNumberFormat="1" applyFont="1" applyFill="1" applyBorder="1" applyAlignment="1">
      <alignment horizontal="right" vertical="center"/>
    </xf>
    <xf numFmtId="171" fontId="44" fillId="48" borderId="67" xfId="0" applyNumberFormat="1" applyFont="1" applyFill="1" applyBorder="1" applyAlignment="1">
      <alignment horizontal="right" vertical="center"/>
    </xf>
    <xf numFmtId="0" fontId="39" fillId="48" borderId="71" xfId="0" applyFont="1" applyFill="1" applyBorder="1" applyAlignment="1">
      <alignment horizontal="center" vertical="center" wrapText="1"/>
    </xf>
    <xf numFmtId="0" fontId="23" fillId="32" borderId="63" xfId="0" applyFont="1" applyFill="1" applyBorder="1" applyAlignment="1">
      <alignment horizontal="center" vertical="center" wrapText="1"/>
    </xf>
    <xf numFmtId="0" fontId="32" fillId="50" borderId="71" xfId="0" applyFont="1" applyFill="1" applyBorder="1" applyAlignment="1">
      <alignment horizontal="center" vertical="center" wrapText="1"/>
    </xf>
    <xf numFmtId="0" fontId="39" fillId="49" borderId="62" xfId="0" applyFont="1" applyFill="1" applyBorder="1" applyAlignment="1">
      <alignment vertical="center" wrapText="1"/>
    </xf>
    <xf numFmtId="0" fontId="23" fillId="32" borderId="74" xfId="0" applyFont="1" applyFill="1" applyBorder="1" applyAlignment="1">
      <alignment horizontal="center" vertical="center"/>
    </xf>
    <xf numFmtId="0" fontId="23" fillId="32" borderId="62" xfId="0" applyFont="1" applyFill="1" applyBorder="1" applyAlignment="1">
      <alignment horizontal="center" vertical="center"/>
    </xf>
    <xf numFmtId="0" fontId="23" fillId="32" borderId="71" xfId="0" applyFont="1" applyFill="1" applyBorder="1" applyAlignment="1">
      <alignment horizontal="center" vertical="center"/>
    </xf>
    <xf numFmtId="0" fontId="25" fillId="48" borderId="67" xfId="0" applyFont="1" applyFill="1" applyBorder="1" applyAlignment="1">
      <alignment horizontal="right" vertical="center"/>
    </xf>
    <xf numFmtId="3" fontId="7" fillId="0" borderId="60" xfId="4" applyNumberFormat="1" applyFont="1" applyBorder="1" applyAlignment="1">
      <alignment vertical="center" wrapText="1"/>
    </xf>
    <xf numFmtId="0" fontId="39" fillId="50" borderId="66" xfId="0" applyFont="1" applyFill="1" applyBorder="1" applyAlignment="1">
      <alignment horizontal="center" vertical="center" wrapText="1"/>
    </xf>
    <xf numFmtId="171" fontId="6" fillId="0" borderId="69" xfId="0" applyNumberFormat="1" applyFont="1" applyBorder="1" applyAlignment="1">
      <alignment horizontal="right" vertical="center"/>
    </xf>
    <xf numFmtId="0" fontId="42" fillId="50" borderId="71" xfId="0" applyFont="1" applyFill="1" applyBorder="1" applyAlignment="1">
      <alignment horizontal="center" vertical="center" wrapText="1"/>
    </xf>
    <xf numFmtId="3" fontId="4" fillId="22" borderId="32" xfId="4" applyNumberFormat="1" applyFont="1" applyFill="1" applyBorder="1" applyAlignment="1">
      <alignment vertical="center" wrapText="1"/>
    </xf>
    <xf numFmtId="0" fontId="6" fillId="49" borderId="0" xfId="0" applyFont="1" applyFill="1" applyAlignment="1">
      <alignment horizontal="center" vertical="center" wrapText="1"/>
    </xf>
    <xf numFmtId="171" fontId="25" fillId="49" borderId="71" xfId="0" applyNumberFormat="1" applyFont="1" applyFill="1" applyBorder="1" applyAlignment="1">
      <alignment horizontal="right" vertical="center"/>
    </xf>
    <xf numFmtId="10" fontId="7" fillId="23" borderId="32" xfId="2" applyNumberFormat="1" applyFont="1" applyFill="1" applyBorder="1" applyAlignment="1">
      <alignment horizontal="center" vertical="center" wrapText="1"/>
    </xf>
    <xf numFmtId="170" fontId="39" fillId="48" borderId="67" xfId="0" applyNumberFormat="1" applyFont="1" applyFill="1" applyBorder="1" applyAlignment="1">
      <alignment horizontal="center" vertical="center"/>
    </xf>
    <xf numFmtId="0" fontId="4" fillId="23" borderId="70" xfId="4" applyFont="1" applyFill="1" applyBorder="1" applyAlignment="1">
      <alignment horizontal="center" vertical="center" wrapText="1"/>
    </xf>
    <xf numFmtId="9" fontId="39" fillId="48" borderId="78" xfId="0" applyNumberFormat="1" applyFont="1" applyFill="1" applyBorder="1" applyAlignment="1">
      <alignment horizontal="center" vertical="center"/>
    </xf>
    <xf numFmtId="0" fontId="39" fillId="49" borderId="67" xfId="0" applyFont="1" applyFill="1" applyBorder="1" applyAlignment="1">
      <alignment horizontal="center" vertical="center"/>
    </xf>
    <xf numFmtId="0" fontId="4" fillId="64" borderId="31" xfId="4" applyFont="1" applyFill="1" applyBorder="1" applyAlignment="1">
      <alignment horizontal="center" vertical="center" wrapText="1"/>
    </xf>
    <xf numFmtId="10" fontId="4" fillId="64" borderId="35" xfId="2" applyNumberFormat="1" applyFont="1" applyFill="1" applyBorder="1" applyAlignment="1">
      <alignment horizontal="right" vertical="center" wrapText="1"/>
    </xf>
    <xf numFmtId="3" fontId="7" fillId="64" borderId="32" xfId="4" applyNumberFormat="1" applyFont="1" applyFill="1" applyBorder="1" applyAlignment="1">
      <alignment horizontal="center" vertical="center" wrapText="1"/>
    </xf>
    <xf numFmtId="3" fontId="7" fillId="64" borderId="31" xfId="4" applyNumberFormat="1" applyFont="1" applyFill="1" applyBorder="1" applyAlignment="1">
      <alignment vertical="center" wrapText="1"/>
    </xf>
    <xf numFmtId="10" fontId="7" fillId="22" borderId="30" xfId="2" applyNumberFormat="1" applyFont="1" applyFill="1" applyBorder="1" applyAlignment="1">
      <alignment horizontal="center" vertical="center" wrapText="1"/>
    </xf>
    <xf numFmtId="9" fontId="7" fillId="22" borderId="29" xfId="2" applyFont="1" applyFill="1" applyBorder="1" applyAlignment="1">
      <alignment horizontal="center" vertical="center" wrapText="1"/>
    </xf>
    <xf numFmtId="171" fontId="4" fillId="52" borderId="6" xfId="0" applyNumberFormat="1" applyFont="1" applyFill="1" applyBorder="1" applyAlignment="1">
      <alignment vertical="center"/>
    </xf>
    <xf numFmtId="171" fontId="4" fillId="52" borderId="78" xfId="0" applyNumberFormat="1" applyFont="1" applyFill="1" applyBorder="1" applyAlignment="1">
      <alignment horizontal="right" vertical="center"/>
    </xf>
    <xf numFmtId="0" fontId="51" fillId="3" borderId="78" xfId="0" applyFont="1" applyFill="1" applyBorder="1"/>
    <xf numFmtId="171" fontId="4" fillId="51" borderId="60" xfId="0" applyNumberFormat="1" applyFont="1" applyFill="1" applyBorder="1" applyAlignment="1">
      <alignment vertical="center"/>
    </xf>
    <xf numFmtId="0" fontId="7" fillId="0" borderId="33" xfId="4" applyFont="1" applyBorder="1" applyAlignment="1">
      <alignment horizontal="center" vertical="center" wrapText="1"/>
    </xf>
    <xf numFmtId="0" fontId="4" fillId="0" borderId="34" xfId="4" applyFont="1" applyBorder="1" applyAlignment="1">
      <alignment horizontal="center" vertical="center" wrapText="1"/>
    </xf>
    <xf numFmtId="0" fontId="7" fillId="0" borderId="31" xfId="4" applyFont="1" applyBorder="1" applyAlignment="1">
      <alignment horizontal="center" vertical="center" wrapText="1"/>
    </xf>
    <xf numFmtId="0" fontId="4" fillId="0" borderId="32" xfId="4" applyFont="1" applyBorder="1" applyAlignment="1">
      <alignment horizontal="center" vertical="center" wrapText="1"/>
    </xf>
    <xf numFmtId="0" fontId="6" fillId="52" borderId="71" xfId="0" applyFont="1" applyFill="1" applyBorder="1" applyAlignment="1">
      <alignment horizontal="center" vertical="center" wrapText="1"/>
    </xf>
    <xf numFmtId="171" fontId="4" fillId="0" borderId="59" xfId="0" applyNumberFormat="1" applyFont="1" applyBorder="1" applyAlignment="1">
      <alignment vertical="center"/>
    </xf>
    <xf numFmtId="0" fontId="6" fillId="53" borderId="63" xfId="0" applyFont="1" applyFill="1" applyBorder="1" applyAlignment="1">
      <alignment horizontal="center" vertical="center" wrapText="1"/>
    </xf>
    <xf numFmtId="0" fontId="39" fillId="53" borderId="13" xfId="0" applyFont="1" applyFill="1" applyBorder="1" applyAlignment="1">
      <alignment vertical="center" wrapText="1"/>
    </xf>
    <xf numFmtId="0" fontId="39" fillId="53" borderId="10" xfId="0" applyFont="1" applyFill="1" applyBorder="1" applyAlignment="1">
      <alignment horizontal="center" vertical="center"/>
    </xf>
    <xf numFmtId="0" fontId="39" fillId="53" borderId="13" xfId="0" applyFont="1" applyFill="1" applyBorder="1" applyAlignment="1">
      <alignment horizontal="center" vertical="center"/>
    </xf>
    <xf numFmtId="0" fontId="39" fillId="53" borderId="67" xfId="0" applyFont="1" applyFill="1" applyBorder="1" applyAlignment="1">
      <alignment horizontal="center" vertical="center"/>
    </xf>
    <xf numFmtId="9" fontId="39" fillId="53" borderId="13" xfId="0" applyNumberFormat="1" applyFont="1" applyFill="1" applyBorder="1" applyAlignment="1">
      <alignment horizontal="center" vertical="center" wrapText="1"/>
    </xf>
    <xf numFmtId="9" fontId="39" fillId="53" borderId="8" xfId="0" applyNumberFormat="1" applyFont="1" applyFill="1" applyBorder="1" applyAlignment="1">
      <alignment horizontal="center" vertical="center" wrapText="1"/>
    </xf>
    <xf numFmtId="171" fontId="25" fillId="53" borderId="8" xfId="0" applyNumberFormat="1" applyFont="1" applyFill="1" applyBorder="1" applyAlignment="1">
      <alignment horizontal="right" vertical="center"/>
    </xf>
    <xf numFmtId="3" fontId="4" fillId="0" borderId="34" xfId="4" applyNumberFormat="1" applyFont="1" applyBorder="1" applyAlignment="1">
      <alignment vertical="center" wrapText="1"/>
    </xf>
    <xf numFmtId="3" fontId="7" fillId="0" borderId="105" xfId="4" applyNumberFormat="1" applyFont="1" applyBorder="1" applyAlignment="1">
      <alignment vertical="center" wrapText="1"/>
    </xf>
    <xf numFmtId="3" fontId="7" fillId="0" borderId="34" xfId="4" applyNumberFormat="1" applyFont="1" applyBorder="1" applyAlignment="1">
      <alignment vertical="center" wrapText="1"/>
    </xf>
    <xf numFmtId="10" fontId="4" fillId="0" borderId="13" xfId="2" applyNumberFormat="1" applyFont="1" applyFill="1" applyBorder="1" applyAlignment="1">
      <alignment vertical="center" wrapText="1"/>
    </xf>
    <xf numFmtId="171" fontId="6" fillId="0" borderId="106" xfId="0" applyNumberFormat="1" applyFont="1" applyBorder="1" applyAlignment="1">
      <alignment horizontal="right" vertical="center"/>
    </xf>
    <xf numFmtId="3" fontId="7" fillId="0" borderId="34" xfId="4" applyNumberFormat="1" applyFont="1" applyBorder="1" applyAlignment="1">
      <alignment horizontal="center" vertical="center" wrapText="1"/>
    </xf>
    <xf numFmtId="3" fontId="7" fillId="0" borderId="33" xfId="4" applyNumberFormat="1" applyFont="1" applyBorder="1" applyAlignment="1">
      <alignment vertical="center" wrapText="1"/>
    </xf>
    <xf numFmtId="3" fontId="7" fillId="0" borderId="25" xfId="4" applyNumberFormat="1" applyFont="1" applyBorder="1" applyAlignment="1">
      <alignment vertical="center" wrapText="1"/>
    </xf>
    <xf numFmtId="0" fontId="32" fillId="53" borderId="107" xfId="0" applyFont="1" applyFill="1" applyBorder="1" applyAlignment="1">
      <alignment horizontal="center" vertical="center" wrapText="1"/>
    </xf>
    <xf numFmtId="0" fontId="52" fillId="65" borderId="10" xfId="0" applyFont="1" applyFill="1" applyBorder="1" applyAlignment="1">
      <alignment vertical="center" wrapText="1"/>
    </xf>
    <xf numFmtId="0" fontId="39" fillId="65" borderId="0" xfId="0" applyFont="1" applyFill="1" applyAlignment="1">
      <alignment horizontal="center" vertical="center" wrapText="1"/>
    </xf>
    <xf numFmtId="0" fontId="39" fillId="65" borderId="11" xfId="0" applyFont="1" applyFill="1" applyBorder="1" applyAlignment="1">
      <alignment horizontal="center" vertical="center"/>
    </xf>
    <xf numFmtId="0" fontId="39" fillId="65" borderId="8" xfId="0" applyFont="1" applyFill="1" applyBorder="1" applyAlignment="1">
      <alignment horizontal="center" vertical="center"/>
    </xf>
    <xf numFmtId="0" fontId="39" fillId="65" borderId="0" xfId="0" applyFont="1" applyFill="1" applyAlignment="1">
      <alignment horizontal="center" vertical="center"/>
    </xf>
    <xf numFmtId="1" fontId="4" fillId="66" borderId="0" xfId="4" applyNumberFormat="1" applyFont="1" applyFill="1" applyAlignment="1">
      <alignment horizontal="center" vertical="center" wrapText="1"/>
    </xf>
    <xf numFmtId="9" fontId="4" fillId="66" borderId="6" xfId="2" applyFont="1" applyFill="1" applyBorder="1" applyAlignment="1">
      <alignment horizontal="center" vertical="center" wrapText="1"/>
    </xf>
    <xf numFmtId="170" fontId="4" fillId="66" borderId="6" xfId="2" applyNumberFormat="1" applyFont="1" applyFill="1" applyBorder="1" applyAlignment="1">
      <alignment horizontal="center" vertical="center" wrapText="1"/>
    </xf>
    <xf numFmtId="0" fontId="4" fillId="66" borderId="0" xfId="4" applyFont="1" applyFill="1" applyAlignment="1">
      <alignment vertical="center" wrapText="1"/>
    </xf>
    <xf numFmtId="0" fontId="4" fillId="66" borderId="0" xfId="4" applyFont="1" applyFill="1" applyAlignment="1">
      <alignment horizontal="center" vertical="center" wrapText="1"/>
    </xf>
    <xf numFmtId="0" fontId="4" fillId="66" borderId="6" xfId="4" applyFont="1" applyFill="1" applyBorder="1" applyAlignment="1">
      <alignment horizontal="center" vertical="center" wrapText="1"/>
    </xf>
    <xf numFmtId="3" fontId="4" fillId="66" borderId="0" xfId="4" applyNumberFormat="1" applyFont="1" applyFill="1" applyAlignment="1">
      <alignment vertical="center" wrapText="1"/>
    </xf>
    <xf numFmtId="14" fontId="4" fillId="66" borderId="0" xfId="4" applyNumberFormat="1" applyFont="1" applyFill="1" applyAlignment="1">
      <alignment vertical="center" wrapText="1"/>
    </xf>
    <xf numFmtId="3" fontId="4" fillId="66" borderId="5" xfId="4" applyNumberFormat="1" applyFont="1" applyFill="1" applyBorder="1" applyAlignment="1">
      <alignment horizontal="center" vertical="center" wrapText="1"/>
    </xf>
    <xf numFmtId="10" fontId="4" fillId="66" borderId="0" xfId="2" applyNumberFormat="1" applyFont="1" applyFill="1" applyBorder="1" applyAlignment="1">
      <alignment horizontal="center" vertical="center" wrapText="1"/>
    </xf>
    <xf numFmtId="9" fontId="39" fillId="65" borderId="13" xfId="0" applyNumberFormat="1" applyFont="1" applyFill="1" applyBorder="1" applyAlignment="1">
      <alignment horizontal="center" vertical="center" wrapText="1"/>
    </xf>
    <xf numFmtId="9" fontId="39" fillId="65" borderId="8" xfId="0" applyNumberFormat="1" applyFont="1" applyFill="1" applyBorder="1" applyAlignment="1">
      <alignment horizontal="center" vertical="center" wrapText="1"/>
    </xf>
    <xf numFmtId="171" fontId="45" fillId="65" borderId="8" xfId="0" applyNumberFormat="1" applyFont="1" applyFill="1" applyBorder="1" applyAlignment="1">
      <alignment horizontal="right" vertical="center"/>
    </xf>
    <xf numFmtId="171" fontId="45" fillId="65" borderId="0" xfId="0" applyNumberFormat="1" applyFont="1" applyFill="1" applyAlignment="1">
      <alignment horizontal="right" vertical="center"/>
    </xf>
    <xf numFmtId="3" fontId="7" fillId="66" borderId="6" xfId="4" applyNumberFormat="1" applyFont="1" applyFill="1" applyBorder="1" applyAlignment="1">
      <alignment vertical="center" wrapText="1"/>
    </xf>
    <xf numFmtId="10" fontId="7" fillId="66" borderId="5" xfId="2" applyNumberFormat="1" applyFont="1" applyFill="1" applyBorder="1" applyAlignment="1">
      <alignment horizontal="right" vertical="center" wrapText="1"/>
    </xf>
    <xf numFmtId="166" fontId="7" fillId="66" borderId="6" xfId="3" applyNumberFormat="1" applyFont="1" applyFill="1" applyBorder="1" applyAlignment="1">
      <alignment vertical="center" wrapText="1"/>
    </xf>
    <xf numFmtId="10" fontId="7" fillId="66" borderId="13" xfId="2" applyNumberFormat="1" applyFont="1" applyFill="1" applyBorder="1" applyAlignment="1">
      <alignment vertical="center" wrapText="1"/>
    </xf>
    <xf numFmtId="3" fontId="7" fillId="66" borderId="8" xfId="4" applyNumberFormat="1" applyFont="1" applyFill="1" applyBorder="1" applyAlignment="1">
      <alignment vertical="center" wrapText="1"/>
    </xf>
    <xf numFmtId="43" fontId="7" fillId="66" borderId="13" xfId="3" applyFont="1" applyFill="1" applyBorder="1" applyAlignment="1">
      <alignment vertical="center" wrapText="1"/>
    </xf>
    <xf numFmtId="171" fontId="6" fillId="66" borderId="11" xfId="0" applyNumberFormat="1" applyFont="1" applyFill="1" applyBorder="1" applyAlignment="1">
      <alignment horizontal="right" vertical="center"/>
    </xf>
    <xf numFmtId="3" fontId="4" fillId="66" borderId="13" xfId="4" applyNumberFormat="1" applyFont="1" applyFill="1" applyBorder="1" applyAlignment="1">
      <alignment horizontal="center" vertical="center" wrapText="1"/>
    </xf>
    <xf numFmtId="3" fontId="4" fillId="66" borderId="10" xfId="4" applyNumberFormat="1" applyFont="1" applyFill="1" applyBorder="1" applyAlignment="1">
      <alignment vertical="center" wrapText="1"/>
    </xf>
    <xf numFmtId="3" fontId="4" fillId="66" borderId="11" xfId="4" applyNumberFormat="1" applyFont="1" applyFill="1" applyBorder="1" applyAlignment="1">
      <alignment vertical="center" wrapText="1"/>
    </xf>
    <xf numFmtId="3" fontId="4" fillId="66" borderId="5" xfId="4" applyNumberFormat="1" applyFont="1" applyFill="1" applyBorder="1" applyAlignment="1">
      <alignment vertical="center" wrapText="1"/>
    </xf>
    <xf numFmtId="0" fontId="32" fillId="65" borderId="8" xfId="0" applyFont="1" applyFill="1" applyBorder="1" applyAlignment="1">
      <alignment horizontal="center" vertical="center" wrapText="1"/>
    </xf>
    <xf numFmtId="0" fontId="4" fillId="66" borderId="6" xfId="4" applyFont="1" applyFill="1" applyBorder="1" applyAlignment="1">
      <alignment vertical="center" wrapText="1"/>
    </xf>
    <xf numFmtId="172" fontId="4" fillId="0" borderId="0" xfId="4" applyNumberFormat="1" applyFont="1" applyAlignment="1">
      <alignment vertical="center" wrapText="1"/>
    </xf>
    <xf numFmtId="0" fontId="4" fillId="0" borderId="0" xfId="4" applyFont="1" applyAlignment="1">
      <alignment horizontal="right" vertical="center" wrapText="1"/>
    </xf>
    <xf numFmtId="0" fontId="7" fillId="0" borderId="0" xfId="4" applyFont="1" applyAlignment="1">
      <alignment horizontal="right" vertical="center"/>
    </xf>
    <xf numFmtId="0" fontId="7" fillId="0" borderId="0" xfId="4" applyFont="1" applyAlignment="1">
      <alignment vertical="center" wrapText="1"/>
    </xf>
    <xf numFmtId="0" fontId="7" fillId="0" borderId="0" xfId="4" applyFont="1" applyAlignment="1">
      <alignment horizontal="center" vertical="center" wrapText="1"/>
    </xf>
    <xf numFmtId="172" fontId="7" fillId="0" borderId="0" xfId="4" applyNumberFormat="1" applyFont="1" applyAlignment="1">
      <alignment vertical="center" wrapText="1"/>
    </xf>
    <xf numFmtId="0" fontId="7" fillId="0" borderId="0" xfId="4" applyFont="1" applyAlignment="1">
      <alignment horizontal="left" vertical="center" wrapText="1"/>
    </xf>
    <xf numFmtId="9" fontId="39" fillId="51" borderId="59" xfId="0" applyNumberFormat="1" applyFont="1" applyFill="1" applyBorder="1" applyAlignment="1">
      <alignment horizontal="center" vertical="center"/>
    </xf>
    <xf numFmtId="171" fontId="25" fillId="34" borderId="63" xfId="0" applyNumberFormat="1" applyFont="1" applyFill="1" applyBorder="1" applyAlignment="1">
      <alignment horizontal="right" vertical="center"/>
    </xf>
    <xf numFmtId="171" fontId="25" fillId="34" borderId="66" xfId="0" applyNumberFormat="1" applyFont="1" applyFill="1" applyBorder="1" applyAlignment="1">
      <alignment horizontal="right" vertical="center"/>
    </xf>
    <xf numFmtId="171" fontId="25" fillId="34" borderId="0" xfId="0" applyNumberFormat="1" applyFont="1" applyFill="1" applyBorder="1" applyAlignment="1">
      <alignment horizontal="right" vertical="center"/>
    </xf>
    <xf numFmtId="3" fontId="7" fillId="23" borderId="19" xfId="4" applyNumberFormat="1" applyFont="1" applyFill="1" applyBorder="1" applyAlignment="1">
      <alignment vertical="center" wrapText="1"/>
    </xf>
    <xf numFmtId="171" fontId="25" fillId="34" borderId="108" xfId="0" applyNumberFormat="1" applyFont="1" applyFill="1" applyBorder="1" applyAlignment="1">
      <alignment horizontal="right" vertical="center"/>
    </xf>
    <xf numFmtId="171" fontId="25" fillId="34" borderId="62" xfId="0" applyNumberFormat="1" applyFont="1" applyFill="1" applyBorder="1" applyAlignment="1">
      <alignment horizontal="right" vertical="center"/>
    </xf>
    <xf numFmtId="171" fontId="25" fillId="34" borderId="76" xfId="0" applyNumberFormat="1" applyFont="1" applyFill="1" applyBorder="1" applyAlignment="1">
      <alignment horizontal="right" vertical="center"/>
    </xf>
    <xf numFmtId="171" fontId="25" fillId="34" borderId="72" xfId="0" applyNumberFormat="1" applyFont="1" applyFill="1" applyBorder="1" applyAlignment="1">
      <alignment horizontal="right" vertical="center"/>
    </xf>
    <xf numFmtId="4" fontId="4" fillId="23" borderId="12" xfId="4" applyNumberFormat="1" applyFont="1" applyFill="1" applyBorder="1" applyAlignment="1">
      <alignment vertical="center" wrapText="1"/>
    </xf>
    <xf numFmtId="172" fontId="25" fillId="34" borderId="72" xfId="0" applyNumberFormat="1" applyFont="1" applyFill="1" applyBorder="1" applyAlignment="1">
      <alignment horizontal="right" vertical="center"/>
    </xf>
    <xf numFmtId="172" fontId="25" fillId="34" borderId="62" xfId="0" applyNumberFormat="1" applyFont="1" applyFill="1" applyBorder="1" applyAlignment="1">
      <alignment horizontal="right" vertical="center"/>
    </xf>
    <xf numFmtId="171" fontId="25" fillId="35" borderId="5" xfId="0" applyNumberFormat="1" applyFont="1" applyFill="1" applyBorder="1" applyAlignment="1">
      <alignment horizontal="right" vertical="center"/>
    </xf>
    <xf numFmtId="171" fontId="25" fillId="36" borderId="70" xfId="0" applyNumberFormat="1" applyFont="1" applyFill="1" applyBorder="1" applyAlignment="1">
      <alignment horizontal="right" vertical="center"/>
    </xf>
    <xf numFmtId="171" fontId="25" fillId="36" borderId="30" xfId="0" applyNumberFormat="1" applyFont="1" applyFill="1" applyBorder="1" applyAlignment="1">
      <alignment horizontal="right" vertical="center"/>
    </xf>
    <xf numFmtId="171" fontId="25" fillId="36" borderId="5" xfId="0" applyNumberFormat="1" applyFont="1" applyFill="1" applyBorder="1" applyAlignment="1">
      <alignment horizontal="right" vertical="center"/>
    </xf>
    <xf numFmtId="171" fontId="25" fillId="34" borderId="70" xfId="0" applyNumberFormat="1" applyFont="1" applyFill="1" applyBorder="1" applyAlignment="1">
      <alignment horizontal="right" vertical="center"/>
    </xf>
    <xf numFmtId="171" fontId="25" fillId="34" borderId="32" xfId="0" applyNumberFormat="1" applyFont="1" applyFill="1" applyBorder="1" applyAlignment="1">
      <alignment horizontal="right" vertical="center"/>
    </xf>
    <xf numFmtId="171" fontId="25" fillId="39" borderId="72" xfId="0" applyNumberFormat="1" applyFont="1" applyFill="1" applyBorder="1" applyAlignment="1">
      <alignment horizontal="right" vertical="center"/>
    </xf>
    <xf numFmtId="171" fontId="25" fillId="39" borderId="5" xfId="0" applyNumberFormat="1" applyFont="1" applyFill="1" applyBorder="1" applyAlignment="1">
      <alignment horizontal="right" vertical="center"/>
    </xf>
    <xf numFmtId="0" fontId="25" fillId="41" borderId="72" xfId="0" applyFont="1" applyFill="1" applyBorder="1" applyAlignment="1">
      <alignment horizontal="right" vertical="center"/>
    </xf>
    <xf numFmtId="0" fontId="25" fillId="41" borderId="76" xfId="0" applyFont="1" applyFill="1" applyBorder="1" applyAlignment="1">
      <alignment horizontal="right" vertical="center"/>
    </xf>
    <xf numFmtId="0" fontId="25" fillId="41" borderId="5" xfId="0" applyFont="1" applyFill="1" applyBorder="1" applyAlignment="1">
      <alignment horizontal="right" vertical="center"/>
    </xf>
    <xf numFmtId="171" fontId="6" fillId="0" borderId="76" xfId="0" applyNumberFormat="1" applyFont="1" applyFill="1" applyBorder="1" applyAlignment="1">
      <alignment horizontal="right" vertical="center"/>
    </xf>
    <xf numFmtId="171" fontId="44" fillId="39" borderId="5" xfId="0" applyNumberFormat="1" applyFont="1" applyFill="1" applyBorder="1" applyAlignment="1">
      <alignment horizontal="right" vertical="center"/>
    </xf>
    <xf numFmtId="171" fontId="44" fillId="43" borderId="72" xfId="0" applyNumberFormat="1" applyFont="1" applyFill="1" applyBorder="1" applyAlignment="1">
      <alignment horizontal="right" vertical="center"/>
    </xf>
    <xf numFmtId="171" fontId="44" fillId="43" borderId="5" xfId="0" applyNumberFormat="1" applyFont="1" applyFill="1" applyBorder="1" applyAlignment="1">
      <alignment horizontal="right" vertical="center"/>
    </xf>
    <xf numFmtId="171" fontId="44" fillId="44" borderId="72" xfId="0" applyNumberFormat="1" applyFont="1" applyFill="1" applyBorder="1" applyAlignment="1">
      <alignment horizontal="right" vertical="center"/>
    </xf>
    <xf numFmtId="171" fontId="44" fillId="44" borderId="5" xfId="0" applyNumberFormat="1" applyFont="1" applyFill="1" applyBorder="1" applyAlignment="1">
      <alignment horizontal="right" vertical="center"/>
    </xf>
    <xf numFmtId="171" fontId="44" fillId="45" borderId="72" xfId="0" applyNumberFormat="1" applyFont="1" applyFill="1" applyBorder="1" applyAlignment="1">
      <alignment horizontal="right" vertical="center"/>
    </xf>
    <xf numFmtId="171" fontId="44" fillId="45" borderId="5" xfId="0" applyNumberFormat="1" applyFont="1" applyFill="1" applyBorder="1" applyAlignment="1">
      <alignment horizontal="right" vertical="center"/>
    </xf>
    <xf numFmtId="171" fontId="44" fillId="46" borderId="72" xfId="0" applyNumberFormat="1" applyFont="1" applyFill="1" applyBorder="1" applyAlignment="1">
      <alignment horizontal="right" vertical="center"/>
    </xf>
    <xf numFmtId="171" fontId="44" fillId="46" borderId="5" xfId="0" applyNumberFormat="1" applyFont="1" applyFill="1" applyBorder="1" applyAlignment="1">
      <alignment horizontal="right" vertical="center"/>
    </xf>
    <xf numFmtId="171" fontId="46" fillId="44" borderId="72" xfId="0" applyNumberFormat="1" applyFont="1" applyFill="1" applyBorder="1" applyAlignment="1">
      <alignment horizontal="right" vertical="center"/>
    </xf>
    <xf numFmtId="171" fontId="46" fillId="44" borderId="62" xfId="0" applyNumberFormat="1" applyFont="1" applyFill="1" applyBorder="1" applyAlignment="1">
      <alignment horizontal="right" vertical="center"/>
    </xf>
    <xf numFmtId="171" fontId="46" fillId="44" borderId="76" xfId="0" applyNumberFormat="1" applyFont="1" applyFill="1" applyBorder="1" applyAlignment="1">
      <alignment horizontal="right" vertical="center"/>
    </xf>
    <xf numFmtId="171" fontId="46" fillId="46" borderId="72" xfId="0" applyNumberFormat="1" applyFont="1" applyFill="1" applyBorder="1" applyAlignment="1">
      <alignment horizontal="right" vertical="center"/>
    </xf>
    <xf numFmtId="171" fontId="46" fillId="46" borderId="62" xfId="0" applyNumberFormat="1" applyFont="1" applyFill="1" applyBorder="1" applyAlignment="1">
      <alignment horizontal="right" vertical="center"/>
    </xf>
    <xf numFmtId="171" fontId="44" fillId="46" borderId="62" xfId="0" applyNumberFormat="1" applyFont="1" applyFill="1" applyBorder="1" applyAlignment="1">
      <alignment horizontal="right" vertical="center"/>
    </xf>
    <xf numFmtId="171" fontId="44" fillId="46" borderId="76" xfId="0" applyNumberFormat="1" applyFont="1" applyFill="1" applyBorder="1" applyAlignment="1">
      <alignment horizontal="right" vertical="center"/>
    </xf>
    <xf numFmtId="171" fontId="44" fillId="0" borderId="72" xfId="0" applyNumberFormat="1" applyFont="1" applyFill="1" applyBorder="1" applyAlignment="1">
      <alignment horizontal="right" vertical="center"/>
    </xf>
    <xf numFmtId="171" fontId="44" fillId="48" borderId="5" xfId="0" applyNumberFormat="1" applyFont="1" applyFill="1" applyBorder="1" applyAlignment="1">
      <alignment horizontal="right" vertical="center"/>
    </xf>
    <xf numFmtId="171" fontId="25" fillId="50" borderId="5" xfId="0" applyNumberFormat="1" applyFont="1" applyFill="1" applyBorder="1" applyAlignment="1">
      <alignment horizontal="right" vertical="center"/>
    </xf>
    <xf numFmtId="171" fontId="25" fillId="50" borderId="72" xfId="0" applyNumberFormat="1" applyFont="1" applyFill="1" applyBorder="1" applyAlignment="1">
      <alignment horizontal="right" vertical="center"/>
    </xf>
    <xf numFmtId="171" fontId="25" fillId="48" borderId="72" xfId="0" applyNumberFormat="1" applyFont="1" applyFill="1" applyBorder="1" applyAlignment="1">
      <alignment horizontal="right" vertical="center"/>
    </xf>
    <xf numFmtId="0" fontId="25" fillId="48" borderId="5" xfId="0" applyFont="1" applyFill="1" applyBorder="1" applyAlignment="1">
      <alignment horizontal="right" vertical="center"/>
    </xf>
    <xf numFmtId="171" fontId="6" fillId="0" borderId="5" xfId="0" applyNumberFormat="1" applyFont="1" applyFill="1" applyBorder="1" applyAlignment="1">
      <alignment horizontal="right" vertical="center"/>
    </xf>
    <xf numFmtId="0" fontId="25" fillId="49" borderId="72" xfId="0" applyFont="1" applyFill="1" applyBorder="1" applyAlignment="1">
      <alignment horizontal="right" vertical="center"/>
    </xf>
    <xf numFmtId="171" fontId="25" fillId="49" borderId="72" xfId="0" applyNumberFormat="1" applyFont="1" applyFill="1" applyBorder="1" applyAlignment="1">
      <alignment horizontal="right" vertical="center"/>
    </xf>
    <xf numFmtId="0" fontId="25" fillId="49" borderId="5" xfId="0" applyFont="1" applyFill="1" applyBorder="1" applyAlignment="1">
      <alignment horizontal="right" vertical="center"/>
    </xf>
    <xf numFmtId="171" fontId="25" fillId="48" borderId="5" xfId="0" applyNumberFormat="1" applyFont="1" applyFill="1" applyBorder="1" applyAlignment="1">
      <alignment horizontal="right" vertical="center"/>
    </xf>
    <xf numFmtId="171" fontId="25" fillId="49" borderId="5" xfId="0" applyNumberFormat="1" applyFont="1" applyFill="1" applyBorder="1" applyAlignment="1">
      <alignment horizontal="right" vertical="center"/>
    </xf>
    <xf numFmtId="4" fontId="7" fillId="59" borderId="12" xfId="4" applyNumberFormat="1" applyFont="1" applyFill="1" applyBorder="1" applyAlignment="1">
      <alignment vertical="center" wrapText="1"/>
    </xf>
    <xf numFmtId="171" fontId="25" fillId="51" borderId="72" xfId="0" applyNumberFormat="1" applyFont="1" applyFill="1" applyBorder="1" applyAlignment="1">
      <alignment horizontal="right" vertical="center"/>
    </xf>
    <xf numFmtId="171" fontId="25" fillId="51" borderId="5" xfId="0" applyNumberFormat="1" applyFont="1" applyFill="1" applyBorder="1" applyAlignment="1">
      <alignment horizontal="right" vertical="center"/>
    </xf>
    <xf numFmtId="171" fontId="25" fillId="52" borderId="72" xfId="0" applyNumberFormat="1" applyFont="1" applyFill="1" applyBorder="1" applyAlignment="1">
      <alignment horizontal="right" vertical="center"/>
    </xf>
    <xf numFmtId="171" fontId="25" fillId="53" borderId="5" xfId="0" applyNumberFormat="1" applyFont="1" applyFill="1" applyBorder="1" applyAlignment="1">
      <alignment horizontal="right" vertical="center"/>
    </xf>
    <xf numFmtId="171" fontId="25" fillId="53" borderId="72" xfId="0" applyNumberFormat="1" applyFont="1" applyFill="1" applyBorder="1" applyAlignment="1">
      <alignment horizontal="right" vertical="center"/>
    </xf>
    <xf numFmtId="4" fontId="7" fillId="22" borderId="12" xfId="4" applyNumberFormat="1" applyFont="1" applyFill="1" applyBorder="1" applyAlignment="1">
      <alignment vertical="center" wrapText="1"/>
    </xf>
    <xf numFmtId="4" fontId="4" fillId="23" borderId="35" xfId="4" applyNumberFormat="1" applyFont="1" applyFill="1" applyBorder="1" applyAlignment="1">
      <alignment vertical="center" wrapText="1"/>
    </xf>
    <xf numFmtId="172" fontId="25" fillId="51" borderId="72" xfId="0" applyNumberFormat="1" applyFont="1" applyFill="1" applyBorder="1" applyAlignment="1">
      <alignment horizontal="right" vertical="center"/>
    </xf>
    <xf numFmtId="171" fontId="23" fillId="52" borderId="62" xfId="0" applyNumberFormat="1" applyFont="1" applyFill="1" applyBorder="1" applyAlignment="1">
      <alignment horizontal="right" vertical="center"/>
    </xf>
    <xf numFmtId="171" fontId="23" fillId="52" borderId="76" xfId="0" applyNumberFormat="1" applyFont="1" applyFill="1" applyBorder="1" applyAlignment="1">
      <alignment horizontal="right" vertical="center"/>
    </xf>
    <xf numFmtId="171" fontId="25" fillId="52" borderId="5" xfId="0" applyNumberFormat="1" applyFont="1" applyFill="1" applyBorder="1" applyAlignment="1">
      <alignment horizontal="right" vertical="center"/>
    </xf>
    <xf numFmtId="170" fontId="7" fillId="22" borderId="9" xfId="2" applyNumberFormat="1" applyFont="1" applyFill="1" applyBorder="1" applyAlignment="1">
      <alignment horizontal="center" vertical="center" wrapText="1"/>
    </xf>
    <xf numFmtId="9" fontId="4" fillId="3" borderId="59" xfId="2" applyNumberFormat="1" applyFont="1" applyFill="1" applyBorder="1" applyAlignment="1">
      <alignment horizontal="center" vertical="center" wrapText="1"/>
    </xf>
    <xf numFmtId="171" fontId="25" fillId="3" borderId="78" xfId="0" applyNumberFormat="1" applyFont="1" applyFill="1" applyBorder="1" applyAlignment="1">
      <alignment horizontal="right" vertical="center"/>
    </xf>
    <xf numFmtId="165" fontId="4" fillId="3" borderId="30" xfId="4" applyNumberFormat="1" applyFont="1" applyFill="1" applyBorder="1" applyAlignment="1">
      <alignment horizontal="center" vertical="center" wrapText="1"/>
    </xf>
    <xf numFmtId="1" fontId="4" fillId="3" borderId="17" xfId="4" applyNumberFormat="1" applyFont="1" applyFill="1" applyBorder="1" applyAlignment="1">
      <alignment horizontal="center" vertical="center" wrapText="1"/>
    </xf>
    <xf numFmtId="0" fontId="7" fillId="3" borderId="29" xfId="4" applyFont="1" applyFill="1" applyBorder="1" applyAlignment="1">
      <alignment horizontal="center" vertical="center" wrapText="1"/>
    </xf>
    <xf numFmtId="0" fontId="4" fillId="3" borderId="30" xfId="4" applyFont="1" applyFill="1" applyBorder="1" applyAlignment="1">
      <alignment horizontal="center" vertical="center" wrapText="1"/>
    </xf>
    <xf numFmtId="9" fontId="4" fillId="3" borderId="29" xfId="2" applyFont="1" applyFill="1" applyBorder="1" applyAlignment="1">
      <alignment vertical="center" wrapText="1"/>
    </xf>
    <xf numFmtId="170" fontId="4" fillId="67" borderId="14" xfId="2" applyNumberFormat="1" applyFont="1" applyFill="1" applyBorder="1" applyAlignment="1">
      <alignment horizontal="center" vertical="center" wrapText="1"/>
    </xf>
    <xf numFmtId="3" fontId="4" fillId="3" borderId="19" xfId="4" applyNumberFormat="1" applyFont="1" applyFill="1" applyBorder="1" applyAlignment="1">
      <alignment vertical="center" wrapText="1"/>
    </xf>
    <xf numFmtId="0" fontId="7" fillId="3" borderId="27" xfId="4" applyFont="1" applyFill="1" applyBorder="1" applyAlignment="1">
      <alignment horizontal="center" vertical="center" wrapText="1"/>
    </xf>
    <xf numFmtId="0" fontId="4" fillId="3" borderId="35" xfId="4" applyFont="1" applyFill="1" applyBorder="1" applyAlignment="1">
      <alignment horizontal="center" vertical="center" wrapText="1"/>
    </xf>
    <xf numFmtId="3" fontId="4" fillId="3" borderId="27" xfId="4" applyNumberFormat="1" applyFont="1" applyFill="1" applyBorder="1" applyAlignment="1">
      <alignment vertical="center" wrapText="1"/>
    </xf>
    <xf numFmtId="14" fontId="4" fillId="3" borderId="27" xfId="4" applyNumberFormat="1" applyFont="1" applyFill="1" applyBorder="1" applyAlignment="1">
      <alignment vertical="center" wrapText="1"/>
    </xf>
    <xf numFmtId="9" fontId="4" fillId="3" borderId="35" xfId="2" applyFont="1" applyFill="1" applyBorder="1" applyAlignment="1">
      <alignment horizontal="center" vertical="center" wrapText="1"/>
    </xf>
    <xf numFmtId="10" fontId="4" fillId="3" borderId="29" xfId="2" applyNumberFormat="1" applyFont="1" applyFill="1" applyBorder="1" applyAlignment="1">
      <alignment vertical="center" wrapText="1"/>
    </xf>
    <xf numFmtId="170" fontId="4" fillId="3" borderId="19" xfId="2" applyNumberFormat="1" applyFont="1" applyFill="1" applyBorder="1" applyAlignment="1">
      <alignment horizontal="center" vertical="center" wrapText="1"/>
    </xf>
    <xf numFmtId="9" fontId="4" fillId="3" borderId="58" xfId="2" applyNumberFormat="1" applyFont="1" applyFill="1" applyBorder="1" applyAlignment="1">
      <alignment horizontal="center" vertical="center" wrapText="1"/>
    </xf>
    <xf numFmtId="10" fontId="4" fillId="3" borderId="35" xfId="2" applyNumberFormat="1" applyFont="1" applyFill="1" applyBorder="1" applyAlignment="1">
      <alignment horizontal="right" vertical="center" wrapText="1"/>
    </xf>
    <xf numFmtId="10" fontId="4" fillId="3" borderId="35" xfId="2" applyNumberFormat="1" applyFont="1" applyFill="1" applyBorder="1" applyAlignment="1">
      <alignment horizontal="center" vertical="center" wrapText="1"/>
    </xf>
    <xf numFmtId="3" fontId="7" fillId="3" borderId="19" xfId="4" applyNumberFormat="1" applyFont="1" applyFill="1" applyBorder="1" applyAlignment="1">
      <alignment vertical="center" wrapText="1"/>
    </xf>
    <xf numFmtId="171" fontId="6" fillId="3" borderId="65" xfId="0" applyNumberFormat="1" applyFont="1" applyFill="1" applyBorder="1" applyAlignment="1">
      <alignment horizontal="right" vertical="center"/>
    </xf>
    <xf numFmtId="3" fontId="7" fillId="3" borderId="27" xfId="4" applyNumberFormat="1" applyFont="1" applyFill="1" applyBorder="1" applyAlignment="1">
      <alignment vertical="center" wrapText="1"/>
    </xf>
    <xf numFmtId="3" fontId="7" fillId="3" borderId="17" xfId="4" applyNumberFormat="1" applyFont="1" applyFill="1" applyBorder="1" applyAlignment="1">
      <alignment vertical="center" wrapText="1"/>
    </xf>
    <xf numFmtId="171" fontId="42" fillId="3" borderId="61" xfId="0" applyNumberFormat="1" applyFont="1" applyFill="1" applyBorder="1" applyAlignment="1">
      <alignment horizontal="right" vertical="center"/>
    </xf>
    <xf numFmtId="171" fontId="6" fillId="3" borderId="61" xfId="0" applyNumberFormat="1" applyFont="1" applyFill="1" applyBorder="1" applyAlignment="1">
      <alignment horizontal="right" vertical="center"/>
    </xf>
    <xf numFmtId="3" fontId="7" fillId="3" borderId="29" xfId="4" applyNumberFormat="1" applyFont="1" applyFill="1" applyBorder="1" applyAlignment="1">
      <alignment vertical="center" wrapText="1"/>
    </xf>
    <xf numFmtId="3" fontId="4" fillId="3" borderId="29" xfId="4" applyNumberFormat="1" applyFont="1" applyFill="1" applyBorder="1" applyAlignment="1">
      <alignment horizontal="center" vertical="center" wrapText="1"/>
    </xf>
    <xf numFmtId="171" fontId="25" fillId="3" borderId="71" xfId="0" applyNumberFormat="1" applyFont="1" applyFill="1" applyBorder="1" applyAlignment="1">
      <alignment horizontal="right" vertical="center"/>
    </xf>
    <xf numFmtId="3" fontId="4" fillId="3" borderId="31" xfId="4" applyNumberFormat="1" applyFont="1" applyFill="1" applyBorder="1" applyAlignment="1">
      <alignment horizontal="center" vertical="center" wrapText="1"/>
    </xf>
    <xf numFmtId="170" fontId="4" fillId="3" borderId="0" xfId="2" applyNumberFormat="1" applyFont="1" applyFill="1" applyBorder="1" applyAlignment="1">
      <alignment horizontal="center" vertical="center" wrapText="1"/>
    </xf>
    <xf numFmtId="9" fontId="4" fillId="3" borderId="60" xfId="2" applyNumberFormat="1" applyFont="1" applyFill="1" applyBorder="1" applyAlignment="1">
      <alignment horizontal="center" vertical="center" wrapText="1"/>
    </xf>
    <xf numFmtId="10" fontId="4" fillId="3" borderId="32" xfId="2" applyNumberFormat="1" applyFont="1" applyFill="1" applyBorder="1" applyAlignment="1">
      <alignment horizontal="right" vertical="center" wrapText="1"/>
    </xf>
    <xf numFmtId="3" fontId="7" fillId="3" borderId="18" xfId="4" applyNumberFormat="1" applyFont="1" applyFill="1" applyBorder="1" applyAlignment="1">
      <alignment vertical="center" wrapText="1"/>
    </xf>
    <xf numFmtId="10" fontId="4" fillId="3" borderId="5" xfId="2" applyNumberFormat="1" applyFont="1" applyFill="1" applyBorder="1" applyAlignment="1">
      <alignment vertical="center" wrapText="1"/>
    </xf>
    <xf numFmtId="171" fontId="42" fillId="3" borderId="80" xfId="0" applyNumberFormat="1" applyFont="1" applyFill="1" applyBorder="1" applyAlignment="1">
      <alignment horizontal="right" vertical="center"/>
    </xf>
    <xf numFmtId="171" fontId="6" fillId="3" borderId="80" xfId="0" applyNumberFormat="1" applyFont="1" applyFill="1" applyBorder="1" applyAlignment="1">
      <alignment horizontal="right" vertical="center"/>
    </xf>
    <xf numFmtId="3" fontId="7" fillId="3" borderId="31" xfId="4" applyNumberFormat="1" applyFont="1" applyFill="1" applyBorder="1" applyAlignment="1">
      <alignment vertical="center" wrapText="1"/>
    </xf>
    <xf numFmtId="3" fontId="4" fillId="67" borderId="12" xfId="4" applyNumberFormat="1" applyFont="1" applyFill="1" applyBorder="1" applyAlignment="1">
      <alignment vertical="center" wrapText="1"/>
    </xf>
    <xf numFmtId="9" fontId="4" fillId="67" borderId="12" xfId="2" applyFont="1" applyFill="1" applyBorder="1" applyAlignment="1">
      <alignment horizontal="center" vertical="center" wrapText="1"/>
    </xf>
    <xf numFmtId="3" fontId="4" fillId="67" borderId="12" xfId="4" applyNumberFormat="1" applyFont="1" applyFill="1" applyBorder="1" applyAlignment="1">
      <alignment horizontal="center" vertical="center" wrapText="1"/>
    </xf>
    <xf numFmtId="9" fontId="4" fillId="67" borderId="12" xfId="2" applyNumberFormat="1" applyFont="1" applyFill="1" applyBorder="1" applyAlignment="1">
      <alignment horizontal="center" vertical="center" wrapText="1"/>
    </xf>
    <xf numFmtId="9" fontId="4" fillId="67" borderId="7" xfId="2" applyNumberFormat="1" applyFont="1" applyFill="1" applyBorder="1" applyAlignment="1">
      <alignment horizontal="center" vertical="center" wrapText="1"/>
    </xf>
    <xf numFmtId="3" fontId="4" fillId="67" borderId="7" xfId="4" applyNumberFormat="1" applyFont="1" applyFill="1" applyBorder="1" applyAlignment="1">
      <alignment vertical="center" wrapText="1"/>
    </xf>
    <xf numFmtId="10" fontId="4" fillId="67" borderId="12" xfId="2" applyNumberFormat="1" applyFont="1" applyFill="1" applyBorder="1" applyAlignment="1">
      <alignment horizontal="right" vertical="center" wrapText="1"/>
    </xf>
    <xf numFmtId="9" fontId="7" fillId="67" borderId="12" xfId="2" applyFont="1" applyFill="1" applyBorder="1" applyAlignment="1">
      <alignment horizontal="center" vertical="center" wrapText="1"/>
    </xf>
    <xf numFmtId="3" fontId="7" fillId="67" borderId="15" xfId="4" applyNumberFormat="1" applyFont="1" applyFill="1" applyBorder="1" applyAlignment="1">
      <alignment vertical="center" wrapText="1"/>
    </xf>
    <xf numFmtId="10" fontId="4" fillId="67" borderId="7" xfId="2" applyNumberFormat="1" applyFont="1" applyFill="1" applyBorder="1" applyAlignment="1">
      <alignment vertical="center" wrapText="1"/>
    </xf>
    <xf numFmtId="10" fontId="4" fillId="67" borderId="12" xfId="2" applyNumberFormat="1" applyFont="1" applyFill="1" applyBorder="1" applyAlignment="1">
      <alignment horizontal="center" vertical="center" wrapText="1"/>
    </xf>
    <xf numFmtId="9" fontId="4" fillId="3" borderId="27" xfId="2" applyFont="1" applyFill="1" applyBorder="1" applyAlignment="1">
      <alignment vertical="center" wrapText="1"/>
    </xf>
    <xf numFmtId="3" fontId="4" fillId="3" borderId="27" xfId="4" applyNumberFormat="1" applyFont="1" applyFill="1" applyBorder="1" applyAlignment="1">
      <alignment horizontal="center" vertical="center" wrapText="1"/>
    </xf>
    <xf numFmtId="171" fontId="34" fillId="3" borderId="65" xfId="0" applyNumberFormat="1" applyFont="1" applyFill="1" applyBorder="1" applyAlignment="1">
      <alignment vertical="center"/>
    </xf>
    <xf numFmtId="171" fontId="34" fillId="3" borderId="61" xfId="0" applyNumberFormat="1" applyFont="1" applyFill="1" applyBorder="1" applyAlignment="1">
      <alignment vertical="center"/>
    </xf>
    <xf numFmtId="170" fontId="7" fillId="64" borderId="14" xfId="2" applyNumberFormat="1" applyFont="1" applyFill="1" applyBorder="1" applyAlignment="1">
      <alignment horizontal="center" vertical="center" wrapText="1"/>
    </xf>
    <xf numFmtId="173" fontId="4" fillId="67" borderId="7" xfId="4" applyNumberFormat="1" applyFont="1" applyFill="1" applyBorder="1" applyAlignment="1">
      <alignment vertical="center" wrapText="1"/>
    </xf>
    <xf numFmtId="10" fontId="4" fillId="67" borderId="12" xfId="2" applyNumberFormat="1" applyFont="1" applyFill="1" applyBorder="1" applyAlignment="1">
      <alignment vertical="center" wrapText="1"/>
    </xf>
    <xf numFmtId="9" fontId="7" fillId="23" borderId="12" xfId="2" applyFont="1" applyFill="1" applyBorder="1" applyAlignment="1">
      <alignment horizontal="center" vertical="center" wrapText="1"/>
    </xf>
    <xf numFmtId="9" fontId="7" fillId="64" borderId="12" xfId="2" applyFont="1" applyFill="1" applyBorder="1" applyAlignment="1">
      <alignment horizontal="center" vertical="center" wrapText="1"/>
    </xf>
    <xf numFmtId="1" fontId="4" fillId="3" borderId="19" xfId="4" applyNumberFormat="1" applyFont="1" applyFill="1" applyBorder="1" applyAlignment="1">
      <alignment horizontal="center" vertical="center" wrapText="1"/>
    </xf>
    <xf numFmtId="170" fontId="4" fillId="3" borderId="35" xfId="2" applyNumberFormat="1" applyFont="1" applyFill="1" applyBorder="1" applyAlignment="1">
      <alignment horizontal="center" vertical="center" wrapText="1"/>
    </xf>
    <xf numFmtId="1" fontId="4" fillId="3" borderId="18" xfId="4" applyNumberFormat="1" applyFont="1" applyFill="1" applyBorder="1" applyAlignment="1">
      <alignment horizontal="center" vertical="center" wrapText="1"/>
    </xf>
    <xf numFmtId="170" fontId="4" fillId="3" borderId="32" xfId="2" applyNumberFormat="1" applyFont="1" applyFill="1" applyBorder="1" applyAlignment="1">
      <alignment horizontal="center" vertical="center" wrapText="1"/>
    </xf>
    <xf numFmtId="3" fontId="4" fillId="3" borderId="18" xfId="4" applyNumberFormat="1" applyFont="1" applyFill="1" applyBorder="1" applyAlignment="1">
      <alignment vertical="center" wrapText="1"/>
    </xf>
    <xf numFmtId="0" fontId="7" fillId="3" borderId="31" xfId="4" applyFont="1" applyFill="1" applyBorder="1" applyAlignment="1">
      <alignment horizontal="center" vertical="center" wrapText="1"/>
    </xf>
    <xf numFmtId="0" fontId="4" fillId="3" borderId="32" xfId="4" applyFont="1" applyFill="1" applyBorder="1" applyAlignment="1">
      <alignment horizontal="center" vertical="center" wrapText="1"/>
    </xf>
    <xf numFmtId="14" fontId="4" fillId="3" borderId="31" xfId="4" applyNumberFormat="1" applyFont="1" applyFill="1" applyBorder="1" applyAlignment="1">
      <alignment vertical="center" wrapText="1"/>
    </xf>
    <xf numFmtId="171" fontId="34" fillId="3" borderId="80" xfId="0" applyNumberFormat="1" applyFont="1" applyFill="1" applyBorder="1" applyAlignment="1">
      <alignment vertical="center"/>
    </xf>
    <xf numFmtId="170" fontId="4" fillId="3" borderId="17" xfId="2" applyNumberFormat="1" applyFont="1" applyFill="1" applyBorder="1" applyAlignment="1">
      <alignment horizontal="center" vertical="center" wrapText="1"/>
    </xf>
    <xf numFmtId="9" fontId="4" fillId="67" borderId="14" xfId="2" applyFont="1" applyFill="1" applyBorder="1" applyAlignment="1">
      <alignment horizontal="center" vertical="center" wrapText="1"/>
    </xf>
    <xf numFmtId="3" fontId="4" fillId="3" borderId="0" xfId="4" applyNumberFormat="1" applyFont="1" applyFill="1" applyBorder="1" applyAlignment="1">
      <alignment vertical="center" wrapText="1"/>
    </xf>
    <xf numFmtId="3" fontId="4" fillId="3" borderId="9" xfId="4" applyNumberFormat="1" applyFont="1" applyFill="1" applyBorder="1" applyAlignment="1">
      <alignment vertical="center" wrapText="1"/>
    </xf>
    <xf numFmtId="3" fontId="4" fillId="3" borderId="9" xfId="4" applyNumberFormat="1" applyFont="1" applyFill="1" applyBorder="1" applyAlignment="1">
      <alignment horizontal="center" vertical="center" wrapText="1"/>
    </xf>
    <xf numFmtId="9" fontId="23" fillId="3" borderId="72" xfId="0" applyNumberFormat="1" applyFont="1" applyFill="1" applyBorder="1" applyAlignment="1">
      <alignment horizontal="center" vertical="center"/>
    </xf>
    <xf numFmtId="9" fontId="4" fillId="3" borderId="58" xfId="2" applyFont="1" applyFill="1" applyBorder="1" applyAlignment="1">
      <alignment horizontal="center" vertical="center" wrapText="1"/>
    </xf>
    <xf numFmtId="9" fontId="4" fillId="3" borderId="5" xfId="2" applyFont="1" applyFill="1" applyBorder="1" applyAlignment="1">
      <alignment horizontal="center" vertical="center" wrapText="1"/>
    </xf>
    <xf numFmtId="3" fontId="7" fillId="3" borderId="0" xfId="4" applyNumberFormat="1" applyFont="1" applyFill="1" applyBorder="1" applyAlignment="1">
      <alignment vertical="center" wrapText="1"/>
    </xf>
    <xf numFmtId="9" fontId="23" fillId="3" borderId="76" xfId="0" applyNumberFormat="1" applyFont="1" applyFill="1" applyBorder="1" applyAlignment="1">
      <alignment horizontal="center" vertical="center"/>
    </xf>
    <xf numFmtId="9" fontId="4" fillId="3" borderId="60" xfId="2" applyFont="1" applyFill="1" applyBorder="1" applyAlignment="1">
      <alignment horizontal="center" vertical="center" wrapText="1"/>
    </xf>
    <xf numFmtId="3" fontId="7" fillId="3" borderId="35" xfId="4" applyNumberFormat="1" applyFont="1" applyFill="1" applyBorder="1" applyAlignment="1">
      <alignment vertical="center" wrapText="1"/>
    </xf>
    <xf numFmtId="9" fontId="23" fillId="3" borderId="35" xfId="0" applyNumberFormat="1" applyFont="1" applyFill="1" applyBorder="1" applyAlignment="1">
      <alignment horizontal="center" vertical="center"/>
    </xf>
    <xf numFmtId="171" fontId="6" fillId="3" borderId="78" xfId="0" applyNumberFormat="1" applyFont="1" applyFill="1" applyBorder="1" applyAlignment="1">
      <alignment horizontal="right" vertical="center"/>
    </xf>
    <xf numFmtId="3" fontId="7" fillId="3" borderId="94" xfId="4" applyNumberFormat="1" applyFont="1" applyFill="1" applyBorder="1" applyAlignment="1">
      <alignment vertical="center" wrapText="1"/>
    </xf>
    <xf numFmtId="171" fontId="6" fillId="3" borderId="72" xfId="0" applyNumberFormat="1" applyFont="1" applyFill="1" applyBorder="1" applyAlignment="1">
      <alignment horizontal="right" vertical="center"/>
    </xf>
    <xf numFmtId="171" fontId="32" fillId="3" borderId="65" xfId="0" applyNumberFormat="1" applyFont="1" applyFill="1" applyBorder="1" applyAlignment="1">
      <alignment horizontal="right" vertical="center"/>
    </xf>
    <xf numFmtId="9" fontId="23" fillId="3" borderId="32" xfId="0" applyNumberFormat="1" applyFont="1" applyFill="1" applyBorder="1" applyAlignment="1">
      <alignment horizontal="center" vertical="center"/>
    </xf>
    <xf numFmtId="171" fontId="6" fillId="3" borderId="79" xfId="0" applyNumberFormat="1" applyFont="1" applyFill="1" applyBorder="1" applyAlignment="1">
      <alignment horizontal="right" vertical="center"/>
    </xf>
    <xf numFmtId="3" fontId="7" fillId="3" borderId="33" xfId="4" applyNumberFormat="1" applyFont="1" applyFill="1" applyBorder="1" applyAlignment="1">
      <alignment vertical="center" wrapText="1"/>
    </xf>
    <xf numFmtId="171" fontId="6" fillId="3" borderId="76" xfId="0" applyNumberFormat="1" applyFont="1" applyFill="1" applyBorder="1" applyAlignment="1">
      <alignment horizontal="right" vertical="center"/>
    </xf>
    <xf numFmtId="171" fontId="32" fillId="3" borderId="80" xfId="0" applyNumberFormat="1" applyFont="1" applyFill="1" applyBorder="1" applyAlignment="1">
      <alignment horizontal="right" vertical="center"/>
    </xf>
    <xf numFmtId="3" fontId="4" fillId="3" borderId="35" xfId="4" applyNumberFormat="1" applyFont="1" applyFill="1" applyBorder="1" applyAlignment="1">
      <alignment vertical="top" wrapText="1"/>
    </xf>
    <xf numFmtId="171" fontId="43" fillId="3" borderId="71" xfId="0" applyNumberFormat="1" applyFont="1" applyFill="1" applyBorder="1" applyAlignment="1">
      <alignment horizontal="right" vertical="center"/>
    </xf>
    <xf numFmtId="171" fontId="25" fillId="3" borderId="69" xfId="0" applyNumberFormat="1" applyFont="1" applyFill="1" applyBorder="1" applyAlignment="1">
      <alignment horizontal="right" vertical="center"/>
    </xf>
    <xf numFmtId="171" fontId="34" fillId="3" borderId="61" xfId="0" applyNumberFormat="1" applyFont="1" applyFill="1" applyBorder="1" applyAlignment="1">
      <alignment horizontal="right" vertical="center"/>
    </xf>
    <xf numFmtId="3" fontId="7" fillId="3" borderId="9" xfId="4" applyNumberFormat="1" applyFont="1" applyFill="1" applyBorder="1" applyAlignment="1">
      <alignment vertical="center" wrapText="1"/>
    </xf>
    <xf numFmtId="9" fontId="23" fillId="3" borderId="78" xfId="0" applyNumberFormat="1" applyFont="1" applyFill="1" applyBorder="1" applyAlignment="1">
      <alignment horizontal="center" vertical="center"/>
    </xf>
    <xf numFmtId="9" fontId="23" fillId="3" borderId="79" xfId="0" applyNumberFormat="1" applyFont="1" applyFill="1" applyBorder="1" applyAlignment="1">
      <alignment horizontal="center" vertical="center"/>
    </xf>
    <xf numFmtId="10" fontId="4" fillId="3" borderId="5" xfId="2" applyNumberFormat="1" applyFont="1" applyFill="1" applyBorder="1" applyAlignment="1">
      <alignment horizontal="center" vertical="center" wrapText="1"/>
    </xf>
    <xf numFmtId="0" fontId="7" fillId="3" borderId="9" xfId="4" applyFont="1" applyFill="1" applyBorder="1" applyAlignment="1">
      <alignment horizontal="center" vertical="center" wrapText="1"/>
    </xf>
    <xf numFmtId="0" fontId="4" fillId="3" borderId="5" xfId="4" applyFont="1" applyFill="1" applyBorder="1" applyAlignment="1">
      <alignment horizontal="center" vertical="center" wrapText="1"/>
    </xf>
    <xf numFmtId="14" fontId="4" fillId="3" borderId="9" xfId="4" applyNumberFormat="1" applyFont="1" applyFill="1" applyBorder="1" applyAlignment="1">
      <alignment vertical="center" wrapText="1"/>
    </xf>
    <xf numFmtId="3" fontId="4" fillId="3" borderId="5" xfId="4" applyNumberFormat="1" applyFont="1" applyFill="1" applyBorder="1" applyAlignment="1">
      <alignment horizontal="center" vertical="center" wrapText="1"/>
    </xf>
    <xf numFmtId="10" fontId="4" fillId="3" borderId="0" xfId="2" applyNumberFormat="1" applyFont="1" applyFill="1" applyBorder="1" applyAlignment="1">
      <alignment horizontal="center" vertical="center" wrapText="1"/>
    </xf>
    <xf numFmtId="9" fontId="23" fillId="3" borderId="5" xfId="0" applyNumberFormat="1" applyFont="1" applyFill="1" applyBorder="1" applyAlignment="1">
      <alignment horizontal="center" vertical="center"/>
    </xf>
    <xf numFmtId="9" fontId="23" fillId="3" borderId="6" xfId="0" applyNumberFormat="1" applyFont="1" applyFill="1" applyBorder="1" applyAlignment="1">
      <alignment horizontal="center" vertical="center"/>
    </xf>
    <xf numFmtId="10" fontId="4" fillId="3" borderId="5" xfId="2" applyNumberFormat="1" applyFont="1" applyFill="1" applyBorder="1" applyAlignment="1">
      <alignment horizontal="right" vertical="center" wrapText="1"/>
    </xf>
    <xf numFmtId="171" fontId="6" fillId="3" borderId="64" xfId="0" applyNumberFormat="1" applyFont="1" applyFill="1" applyBorder="1" applyAlignment="1">
      <alignment horizontal="right" vertical="center"/>
    </xf>
    <xf numFmtId="10" fontId="4" fillId="3" borderId="19" xfId="2" applyNumberFormat="1" applyFont="1" applyFill="1" applyBorder="1" applyAlignment="1">
      <alignment horizontal="center" vertical="center" wrapText="1"/>
    </xf>
    <xf numFmtId="166" fontId="7" fillId="3" borderId="6" xfId="3" applyNumberFormat="1" applyFont="1" applyFill="1" applyBorder="1" applyAlignment="1">
      <alignment vertical="center" wrapText="1"/>
    </xf>
    <xf numFmtId="9" fontId="7" fillId="64" borderId="31" xfId="2" applyNumberFormat="1" applyFont="1" applyFill="1" applyBorder="1" applyAlignment="1">
      <alignment horizontal="center" vertical="center" wrapText="1"/>
    </xf>
    <xf numFmtId="0" fontId="4" fillId="3" borderId="5" xfId="4" applyFont="1" applyFill="1" applyBorder="1" applyAlignment="1">
      <alignment vertical="center" wrapText="1"/>
    </xf>
    <xf numFmtId="0" fontId="4" fillId="3" borderId="0" xfId="4" applyFont="1" applyFill="1" applyBorder="1" applyAlignment="1">
      <alignment vertical="center" wrapText="1"/>
    </xf>
    <xf numFmtId="0" fontId="4" fillId="3" borderId="9" xfId="4" applyFont="1" applyFill="1" applyBorder="1" applyAlignment="1">
      <alignment vertical="center" wrapText="1"/>
    </xf>
    <xf numFmtId="0" fontId="4" fillId="3" borderId="9" xfId="4" applyFont="1" applyFill="1" applyBorder="1" applyAlignment="1">
      <alignment horizontal="center" vertical="center" wrapText="1"/>
    </xf>
    <xf numFmtId="0" fontId="4" fillId="3" borderId="31" xfId="4" applyFont="1" applyFill="1" applyBorder="1" applyAlignment="1">
      <alignment horizontal="center" vertical="center" wrapText="1"/>
    </xf>
    <xf numFmtId="9" fontId="4" fillId="3" borderId="30" xfId="2" applyNumberFormat="1" applyFont="1" applyFill="1" applyBorder="1" applyAlignment="1">
      <alignment horizontal="center" vertical="center" wrapText="1"/>
    </xf>
    <xf numFmtId="171" fontId="32" fillId="3" borderId="61" xfId="0" applyNumberFormat="1" applyFont="1" applyFill="1" applyBorder="1" applyAlignment="1">
      <alignment horizontal="right" vertical="center"/>
    </xf>
    <xf numFmtId="10" fontId="4" fillId="3" borderId="29" xfId="2" applyNumberFormat="1" applyFont="1" applyFill="1" applyBorder="1" applyAlignment="1">
      <alignment horizontal="center" vertical="center" wrapText="1"/>
    </xf>
    <xf numFmtId="171" fontId="4" fillId="52" borderId="70" xfId="0" applyNumberFormat="1" applyFont="1" applyFill="1" applyBorder="1" applyAlignment="1">
      <alignment vertical="center"/>
    </xf>
    <xf numFmtId="9" fontId="4" fillId="23" borderId="5" xfId="2" applyFont="1" applyFill="1" applyBorder="1" applyAlignment="1">
      <alignment horizontal="center" vertical="center" wrapText="1"/>
    </xf>
    <xf numFmtId="9" fontId="4" fillId="22" borderId="12" xfId="2" applyFont="1" applyFill="1" applyBorder="1" applyAlignment="1">
      <alignment horizontal="center" vertical="center" wrapText="1"/>
    </xf>
    <xf numFmtId="3" fontId="4" fillId="3" borderId="59" xfId="4" applyNumberFormat="1" applyFont="1" applyFill="1" applyBorder="1" applyAlignment="1">
      <alignment horizontal="center" vertical="center" wrapText="1"/>
    </xf>
    <xf numFmtId="9" fontId="23" fillId="3" borderId="62" xfId="0" applyNumberFormat="1" applyFont="1" applyFill="1" applyBorder="1" applyAlignment="1">
      <alignment horizontal="center" vertical="center"/>
    </xf>
    <xf numFmtId="171" fontId="4" fillId="3" borderId="59" xfId="0" applyNumberFormat="1" applyFont="1" applyFill="1" applyBorder="1" applyAlignment="1">
      <alignment vertical="center"/>
    </xf>
    <xf numFmtId="9" fontId="4" fillId="67" borderId="27" xfId="2" applyFont="1" applyFill="1" applyBorder="1" applyAlignment="1">
      <alignment horizontal="center" vertical="center" wrapText="1"/>
    </xf>
    <xf numFmtId="9" fontId="4" fillId="67" borderId="35" xfId="2" applyFont="1" applyFill="1" applyBorder="1" applyAlignment="1">
      <alignment horizontal="center" vertical="center" wrapText="1"/>
    </xf>
    <xf numFmtId="9" fontId="4" fillId="67" borderId="58" xfId="2" applyFont="1" applyFill="1" applyBorder="1" applyAlignment="1">
      <alignment horizontal="center" vertical="center" wrapText="1"/>
    </xf>
    <xf numFmtId="3" fontId="4" fillId="67" borderId="58" xfId="4" applyNumberFormat="1" applyFont="1" applyFill="1" applyBorder="1" applyAlignment="1">
      <alignment vertical="center" wrapText="1"/>
    </xf>
    <xf numFmtId="10" fontId="4" fillId="67" borderId="35" xfId="2" applyNumberFormat="1" applyFont="1" applyFill="1" applyBorder="1" applyAlignment="1">
      <alignment horizontal="right" vertical="center" wrapText="1"/>
    </xf>
    <xf numFmtId="10" fontId="4" fillId="67" borderId="5" xfId="2" applyNumberFormat="1" applyFont="1" applyFill="1" applyBorder="1" applyAlignment="1">
      <alignment horizontal="center" vertical="center" wrapText="1"/>
    </xf>
    <xf numFmtId="3" fontId="7" fillId="67" borderId="19" xfId="4" applyNumberFormat="1" applyFont="1" applyFill="1" applyBorder="1" applyAlignment="1">
      <alignment vertical="center" wrapText="1"/>
    </xf>
    <xf numFmtId="3" fontId="4" fillId="67" borderId="35" xfId="4" applyNumberFormat="1" applyFont="1" applyFill="1" applyBorder="1" applyAlignment="1">
      <alignment vertical="center" wrapText="1"/>
    </xf>
    <xf numFmtId="10" fontId="4" fillId="67" borderId="35" xfId="2" applyNumberFormat="1" applyFont="1" applyFill="1" applyBorder="1" applyAlignment="1">
      <alignment vertical="center" wrapText="1"/>
    </xf>
    <xf numFmtId="9" fontId="4" fillId="67" borderId="5" xfId="2" applyFont="1" applyFill="1" applyBorder="1" applyAlignment="1">
      <alignment horizontal="center" vertical="center" wrapText="1"/>
    </xf>
    <xf numFmtId="3" fontId="7" fillId="67" borderId="9" xfId="4" applyNumberFormat="1" applyFont="1" applyFill="1" applyBorder="1" applyAlignment="1">
      <alignment vertical="center" wrapText="1"/>
    </xf>
    <xf numFmtId="3" fontId="7" fillId="67" borderId="27" xfId="4" applyNumberFormat="1" applyFont="1" applyFill="1" applyBorder="1" applyAlignment="1">
      <alignment vertical="center" wrapText="1"/>
    </xf>
    <xf numFmtId="3" fontId="7" fillId="67" borderId="35" xfId="4" applyNumberFormat="1" applyFont="1" applyFill="1" applyBorder="1" applyAlignment="1">
      <alignment vertical="center" wrapText="1"/>
    </xf>
    <xf numFmtId="9" fontId="23" fillId="3" borderId="71" xfId="0" applyNumberFormat="1" applyFont="1" applyFill="1" applyBorder="1" applyAlignment="1">
      <alignment horizontal="center" vertical="center"/>
    </xf>
    <xf numFmtId="0" fontId="0" fillId="3" borderId="5" xfId="0" applyFill="1" applyBorder="1" applyAlignment="1">
      <alignment wrapText="1"/>
    </xf>
    <xf numFmtId="0" fontId="0" fillId="3" borderId="30" xfId="0" applyFill="1" applyBorder="1" applyAlignment="1">
      <alignment wrapText="1"/>
    </xf>
    <xf numFmtId="0" fontId="23" fillId="33" borderId="76" xfId="0" applyFont="1" applyFill="1" applyBorder="1" applyAlignment="1">
      <alignment horizontal="center" vertical="center"/>
    </xf>
    <xf numFmtId="170" fontId="4" fillId="3" borderId="31" xfId="2" applyNumberFormat="1" applyFont="1" applyFill="1" applyBorder="1" applyAlignment="1">
      <alignment horizontal="center" vertical="center" wrapText="1"/>
    </xf>
    <xf numFmtId="0" fontId="4" fillId="3" borderId="34" xfId="4" applyFont="1" applyFill="1" applyBorder="1" applyAlignment="1">
      <alignment vertical="center" wrapText="1"/>
    </xf>
    <xf numFmtId="171" fontId="4" fillId="51" borderId="6" xfId="0" applyNumberFormat="1" applyFont="1" applyFill="1" applyBorder="1" applyAlignment="1">
      <alignment horizontal="right" vertical="center"/>
    </xf>
    <xf numFmtId="171" fontId="4" fillId="52" borderId="79" xfId="0" applyNumberFormat="1" applyFont="1" applyFill="1" applyBorder="1" applyAlignment="1">
      <alignment horizontal="right" vertical="center"/>
    </xf>
    <xf numFmtId="172" fontId="8" fillId="22" borderId="7" xfId="4" applyNumberFormat="1" applyFont="1" applyFill="1" applyBorder="1" applyAlignment="1">
      <alignment horizontal="center" vertical="center" wrapText="1"/>
    </xf>
    <xf numFmtId="172" fontId="48" fillId="22" borderId="12" xfId="4" applyNumberFormat="1" applyFont="1" applyFill="1" applyBorder="1" applyAlignment="1">
      <alignment horizontal="center" vertical="center" wrapText="1"/>
    </xf>
    <xf numFmtId="0" fontId="8" fillId="22" borderId="7" xfId="4" applyFont="1" applyFill="1" applyBorder="1" applyAlignment="1">
      <alignment horizontal="center" vertical="center" wrapText="1"/>
    </xf>
    <xf numFmtId="0" fontId="8" fillId="22" borderId="12" xfId="4" applyFont="1" applyFill="1" applyBorder="1" applyAlignment="1">
      <alignment horizontal="center" vertical="center" wrapText="1"/>
    </xf>
    <xf numFmtId="170" fontId="8" fillId="22" borderId="7" xfId="4" applyNumberFormat="1" applyFont="1" applyFill="1" applyBorder="1" applyAlignment="1">
      <alignment horizontal="center" vertical="center" wrapText="1"/>
    </xf>
    <xf numFmtId="10" fontId="8" fillId="22" borderId="7" xfId="4" applyNumberFormat="1" applyFont="1" applyFill="1" applyBorder="1" applyAlignment="1">
      <alignment horizontal="center" vertical="center" wrapText="1"/>
    </xf>
    <xf numFmtId="10" fontId="8" fillId="22" borderId="7" xfId="2" applyNumberFormat="1" applyFont="1" applyFill="1" applyBorder="1" applyAlignment="1">
      <alignment horizontal="center" vertical="center" wrapText="1"/>
    </xf>
    <xf numFmtId="10" fontId="8" fillId="22" borderId="12" xfId="2" applyNumberFormat="1" applyFont="1" applyFill="1" applyBorder="1" applyAlignment="1">
      <alignment horizontal="center" vertical="center" wrapText="1"/>
    </xf>
    <xf numFmtId="172" fontId="8" fillId="22" borderId="15" xfId="4" applyNumberFormat="1" applyFont="1" applyFill="1" applyBorder="1" applyAlignment="1">
      <alignment horizontal="center" vertical="center" wrapText="1"/>
    </xf>
    <xf numFmtId="10" fontId="29" fillId="22" borderId="12" xfId="2" applyNumberFormat="1" applyFont="1" applyFill="1" applyBorder="1" applyAlignment="1">
      <alignment horizontal="center" vertical="center" wrapText="1"/>
    </xf>
    <xf numFmtId="166" fontId="7" fillId="3" borderId="60" xfId="3" applyNumberFormat="1" applyFont="1" applyFill="1" applyBorder="1" applyAlignment="1">
      <alignment vertical="center" wrapText="1"/>
    </xf>
    <xf numFmtId="171" fontId="53" fillId="0" borderId="80" xfId="0" applyNumberFormat="1" applyFont="1" applyFill="1" applyBorder="1" applyAlignment="1">
      <alignment vertical="center"/>
    </xf>
    <xf numFmtId="3" fontId="23" fillId="23" borderId="7" xfId="4" applyNumberFormat="1" applyFont="1" applyFill="1" applyBorder="1" applyAlignment="1">
      <alignment vertical="center" wrapText="1"/>
    </xf>
    <xf numFmtId="3" fontId="23" fillId="67" borderId="7" xfId="4" applyNumberFormat="1" applyFont="1" applyFill="1" applyBorder="1" applyAlignment="1">
      <alignment vertical="center" wrapText="1"/>
    </xf>
    <xf numFmtId="171" fontId="53" fillId="3" borderId="65" xfId="0" applyNumberFormat="1" applyFont="1" applyFill="1" applyBorder="1" applyAlignment="1">
      <alignment vertical="center"/>
    </xf>
    <xf numFmtId="3" fontId="24" fillId="22" borderId="7" xfId="4" applyNumberFormat="1" applyFont="1" applyFill="1" applyBorder="1" applyAlignment="1">
      <alignment vertical="center" wrapText="1"/>
    </xf>
    <xf numFmtId="171" fontId="32" fillId="0" borderId="0" xfId="0" applyNumberFormat="1" applyFont="1" applyFill="1" applyBorder="1" applyAlignment="1">
      <alignment horizontal="right" vertical="center"/>
    </xf>
    <xf numFmtId="171" fontId="23" fillId="34" borderId="72" xfId="0" applyNumberFormat="1" applyFont="1" applyFill="1" applyBorder="1" applyAlignment="1">
      <alignment horizontal="right" vertical="center"/>
    </xf>
    <xf numFmtId="171" fontId="23" fillId="0" borderId="67" xfId="0" applyNumberFormat="1" applyFont="1" applyFill="1" applyBorder="1" applyAlignment="1">
      <alignment horizontal="right" vertical="center"/>
    </xf>
    <xf numFmtId="10" fontId="23" fillId="0" borderId="35" xfId="2" applyNumberFormat="1" applyFont="1" applyFill="1" applyBorder="1" applyAlignment="1">
      <alignment vertical="center" wrapText="1"/>
    </xf>
    <xf numFmtId="9" fontId="23" fillId="0" borderId="35" xfId="2" applyFont="1" applyFill="1" applyBorder="1" applyAlignment="1">
      <alignment horizontal="center" vertical="center" wrapText="1"/>
    </xf>
    <xf numFmtId="3" fontId="24" fillId="0" borderId="19" xfId="4" applyNumberFormat="1" applyFont="1" applyFill="1" applyBorder="1" applyAlignment="1">
      <alignment vertical="center" wrapText="1"/>
    </xf>
    <xf numFmtId="171" fontId="23" fillId="34" borderId="76" xfId="0" applyNumberFormat="1" applyFont="1" applyFill="1" applyBorder="1" applyAlignment="1">
      <alignment horizontal="right" vertical="center"/>
    </xf>
    <xf numFmtId="171" fontId="23" fillId="0" borderId="69" xfId="0" applyNumberFormat="1" applyFont="1" applyFill="1" applyBorder="1" applyAlignment="1">
      <alignment horizontal="right" vertical="center"/>
    </xf>
    <xf numFmtId="9" fontId="23" fillId="0" borderId="30" xfId="2" applyFont="1" applyFill="1" applyBorder="1" applyAlignment="1">
      <alignment horizontal="center" vertical="center" wrapText="1"/>
    </xf>
    <xf numFmtId="3" fontId="24" fillId="0" borderId="17" xfId="4" applyNumberFormat="1" applyFont="1" applyFill="1" applyBorder="1" applyAlignment="1">
      <alignment vertical="center" wrapText="1"/>
    </xf>
    <xf numFmtId="171" fontId="23" fillId="34" borderId="92" xfId="0" applyNumberFormat="1" applyFont="1" applyFill="1" applyBorder="1" applyAlignment="1">
      <alignment horizontal="right" vertical="center"/>
    </xf>
    <xf numFmtId="171" fontId="23" fillId="34" borderId="69" xfId="0" applyNumberFormat="1" applyFont="1" applyFill="1" applyBorder="1" applyAlignment="1">
      <alignment horizontal="right" vertical="center"/>
    </xf>
    <xf numFmtId="171" fontId="23" fillId="34" borderId="62" xfId="0" applyNumberFormat="1" applyFont="1" applyFill="1" applyBorder="1" applyAlignment="1">
      <alignment horizontal="right" vertical="center"/>
    </xf>
    <xf numFmtId="171" fontId="23" fillId="34" borderId="84" xfId="0" applyNumberFormat="1" applyFont="1" applyFill="1" applyBorder="1" applyAlignment="1">
      <alignment horizontal="right" vertical="center"/>
    </xf>
    <xf numFmtId="10" fontId="23" fillId="0" borderId="5" xfId="2" applyNumberFormat="1" applyFont="1" applyFill="1" applyBorder="1" applyAlignment="1">
      <alignment vertical="center" wrapText="1"/>
    </xf>
    <xf numFmtId="9" fontId="23" fillId="0" borderId="32" xfId="2" applyFont="1" applyFill="1" applyBorder="1" applyAlignment="1">
      <alignment horizontal="center" vertical="center" wrapText="1"/>
    </xf>
    <xf numFmtId="3" fontId="24" fillId="0" borderId="18" xfId="4" applyNumberFormat="1" applyFont="1" applyFill="1" applyBorder="1" applyAlignment="1">
      <alignment vertical="center" wrapText="1"/>
    </xf>
    <xf numFmtId="3" fontId="23" fillId="23" borderId="12" xfId="4" applyNumberFormat="1" applyFont="1" applyFill="1" applyBorder="1" applyAlignment="1">
      <alignment vertical="center" wrapText="1"/>
    </xf>
    <xf numFmtId="10" fontId="23" fillId="23" borderId="12" xfId="2" applyNumberFormat="1" applyFont="1" applyFill="1" applyBorder="1" applyAlignment="1">
      <alignment vertical="center" wrapText="1"/>
    </xf>
    <xf numFmtId="9" fontId="23" fillId="23" borderId="12" xfId="2" applyFont="1" applyFill="1" applyBorder="1" applyAlignment="1">
      <alignment horizontal="center" vertical="center" wrapText="1"/>
    </xf>
    <xf numFmtId="3" fontId="24" fillId="23" borderId="15" xfId="4" applyNumberFormat="1" applyFont="1" applyFill="1" applyBorder="1" applyAlignment="1">
      <alignment vertical="center" wrapText="1"/>
    </xf>
    <xf numFmtId="9" fontId="7" fillId="22" borderId="31" xfId="2" applyNumberFormat="1" applyFont="1" applyFill="1" applyBorder="1" applyAlignment="1">
      <alignment horizontal="center" vertical="center" wrapText="1"/>
    </xf>
    <xf numFmtId="0" fontId="6" fillId="34" borderId="85" xfId="0" applyFont="1" applyFill="1" applyBorder="1" applyAlignment="1">
      <alignment horizontal="center" vertical="center" wrapText="1"/>
    </xf>
    <xf numFmtId="0" fontId="6" fillId="35" borderId="85" xfId="0" applyFont="1" applyFill="1" applyBorder="1" applyAlignment="1">
      <alignment horizontal="center" vertical="center" wrapText="1"/>
    </xf>
    <xf numFmtId="0" fontId="6" fillId="36" borderId="85" xfId="0" applyFont="1" applyFill="1" applyBorder="1" applyAlignment="1">
      <alignment horizontal="center" vertical="center" wrapText="1"/>
    </xf>
    <xf numFmtId="0" fontId="32" fillId="35" borderId="66" xfId="0" applyFont="1" applyFill="1" applyBorder="1" applyAlignment="1">
      <alignment horizontal="center" vertical="center" wrapText="1"/>
    </xf>
    <xf numFmtId="0" fontId="32" fillId="34" borderId="66" xfId="0" applyFont="1" applyFill="1" applyBorder="1" applyAlignment="1">
      <alignment horizontal="center" vertical="center" wrapText="1"/>
    </xf>
    <xf numFmtId="0" fontId="32" fillId="34" borderId="63" xfId="0" applyFont="1" applyFill="1" applyBorder="1" applyAlignment="1">
      <alignment horizontal="center" vertical="center" wrapText="1"/>
    </xf>
    <xf numFmtId="0" fontId="32" fillId="39" borderId="63" xfId="0" applyFont="1" applyFill="1" applyBorder="1" applyAlignment="1">
      <alignment horizontal="center" vertical="center" wrapText="1"/>
    </xf>
    <xf numFmtId="0" fontId="32" fillId="39" borderId="85" xfId="0" applyFont="1" applyFill="1" applyBorder="1" applyAlignment="1">
      <alignment horizontal="center" vertical="center" wrapText="1"/>
    </xf>
    <xf numFmtId="0" fontId="32" fillId="40" borderId="63" xfId="0" applyFont="1" applyFill="1" applyBorder="1" applyAlignment="1">
      <alignment horizontal="center" vertical="center" wrapText="1"/>
    </xf>
    <xf numFmtId="0" fontId="32" fillId="42" borderId="0" xfId="0" applyFont="1" applyFill="1" applyBorder="1" applyAlignment="1">
      <alignment horizontal="center" vertical="center" wrapText="1"/>
    </xf>
    <xf numFmtId="0" fontId="32" fillId="41" borderId="66" xfId="0" applyFont="1" applyFill="1" applyBorder="1" applyAlignment="1">
      <alignment horizontal="center" vertical="center" wrapText="1"/>
    </xf>
    <xf numFmtId="0" fontId="32" fillId="41" borderId="85" xfId="0" applyFont="1" applyFill="1" applyBorder="1" applyAlignment="1">
      <alignment horizontal="center" vertical="center" wrapText="1"/>
    </xf>
    <xf numFmtId="0" fontId="32" fillId="44" borderId="66" xfId="0" applyFont="1" applyFill="1" applyBorder="1" applyAlignment="1">
      <alignment horizontal="center" vertical="center" wrapText="1"/>
    </xf>
    <xf numFmtId="0" fontId="32" fillId="44" borderId="63" xfId="0" applyFont="1" applyFill="1" applyBorder="1" applyAlignment="1">
      <alignment horizontal="center" vertical="center" wrapText="1"/>
    </xf>
    <xf numFmtId="0" fontId="32" fillId="43" borderId="66" xfId="0" applyFont="1" applyFill="1" applyBorder="1" applyAlignment="1">
      <alignment horizontal="center" vertical="center" wrapText="1"/>
    </xf>
    <xf numFmtId="0" fontId="32" fillId="43" borderId="85" xfId="0" applyFont="1" applyFill="1" applyBorder="1" applyAlignment="1">
      <alignment horizontal="center" vertical="center" wrapText="1"/>
    </xf>
    <xf numFmtId="0" fontId="32" fillId="46" borderId="66" xfId="0" applyFont="1" applyFill="1" applyBorder="1" applyAlignment="1">
      <alignment horizontal="center" vertical="center" wrapText="1"/>
    </xf>
    <xf numFmtId="0" fontId="32" fillId="46" borderId="85" xfId="0" applyFont="1" applyFill="1" applyBorder="1" applyAlignment="1">
      <alignment horizontal="center" vertical="center" wrapText="1"/>
    </xf>
    <xf numFmtId="0" fontId="32" fillId="44" borderId="85" xfId="0" applyFont="1" applyFill="1" applyBorder="1" applyAlignment="1">
      <alignment horizontal="center" vertical="center" wrapText="1"/>
    </xf>
    <xf numFmtId="0" fontId="6" fillId="46" borderId="63" xfId="0" applyFont="1" applyFill="1" applyBorder="1" applyAlignment="1">
      <alignment horizontal="center" vertical="center" wrapText="1"/>
    </xf>
    <xf numFmtId="0" fontId="32" fillId="46" borderId="63" xfId="0" applyFont="1" applyFill="1" applyBorder="1" applyAlignment="1">
      <alignment horizontal="center" vertical="center" wrapText="1"/>
    </xf>
    <xf numFmtId="0" fontId="6" fillId="44" borderId="0" xfId="0" applyFont="1" applyFill="1" applyBorder="1" applyAlignment="1">
      <alignment horizontal="center" vertical="center" wrapText="1"/>
    </xf>
    <xf numFmtId="0" fontId="6" fillId="47" borderId="66" xfId="0" applyFont="1" applyFill="1" applyBorder="1" applyAlignment="1">
      <alignment horizontal="center" vertical="center" wrapText="1"/>
    </xf>
    <xf numFmtId="0" fontId="6" fillId="47" borderId="63" xfId="0" applyFont="1" applyFill="1" applyBorder="1" applyAlignment="1">
      <alignment horizontal="center" vertical="center" wrapText="1"/>
    </xf>
    <xf numFmtId="0" fontId="6" fillId="44" borderId="85" xfId="0" applyFont="1" applyFill="1" applyBorder="1" applyAlignment="1">
      <alignment horizontal="center" vertical="center" wrapText="1"/>
    </xf>
    <xf numFmtId="0" fontId="32" fillId="49" borderId="0" xfId="0" applyFont="1" applyFill="1" applyBorder="1" applyAlignment="1">
      <alignment horizontal="center" vertical="center" wrapText="1"/>
    </xf>
    <xf numFmtId="0" fontId="32" fillId="50" borderId="0" xfId="0" applyFont="1" applyFill="1" applyBorder="1" applyAlignment="1">
      <alignment horizontal="center" vertical="center" wrapText="1"/>
    </xf>
    <xf numFmtId="0" fontId="32" fillId="48" borderId="66" xfId="0" applyFont="1" applyFill="1" applyBorder="1" applyAlignment="1">
      <alignment horizontal="center" vertical="center" wrapText="1"/>
    </xf>
    <xf numFmtId="0" fontId="32" fillId="48" borderId="85" xfId="0" applyFont="1" applyFill="1" applyBorder="1" applyAlignment="1">
      <alignment horizontal="center" vertical="center" wrapText="1"/>
    </xf>
    <xf numFmtId="0" fontId="32" fillId="48" borderId="0" xfId="0" applyFont="1" applyFill="1" applyBorder="1" applyAlignment="1">
      <alignment horizontal="center" vertical="center" wrapText="1"/>
    </xf>
    <xf numFmtId="0" fontId="42" fillId="50" borderId="0" xfId="0" applyFont="1" applyFill="1" applyBorder="1" applyAlignment="1">
      <alignment horizontal="center" vertical="center" wrapText="1"/>
    </xf>
    <xf numFmtId="0" fontId="32" fillId="49" borderId="63" xfId="0" applyFont="1" applyFill="1" applyBorder="1" applyAlignment="1">
      <alignment horizontal="center" vertical="center" wrapText="1"/>
    </xf>
    <xf numFmtId="0" fontId="32" fillId="49" borderId="85" xfId="0" applyFont="1" applyFill="1" applyBorder="1" applyAlignment="1">
      <alignment horizontal="center" vertical="center" wrapText="1"/>
    </xf>
    <xf numFmtId="0" fontId="32" fillId="48" borderId="63" xfId="0" applyFont="1" applyFill="1" applyBorder="1" applyAlignment="1">
      <alignment horizontal="center" vertical="center" wrapText="1"/>
    </xf>
    <xf numFmtId="0" fontId="32" fillId="51" borderId="63" xfId="0" applyFont="1" applyFill="1" applyBorder="1" applyAlignment="1">
      <alignment horizontal="center" vertical="center" wrapText="1"/>
    </xf>
    <xf numFmtId="0" fontId="32" fillId="51" borderId="85" xfId="0" applyFont="1" applyFill="1" applyBorder="1" applyAlignment="1">
      <alignment horizontal="center" vertical="center" wrapText="1"/>
    </xf>
    <xf numFmtId="0" fontId="32" fillId="52" borderId="63" xfId="0" applyFont="1" applyFill="1" applyBorder="1" applyAlignment="1">
      <alignment horizontal="center" vertical="center" wrapText="1"/>
    </xf>
    <xf numFmtId="0" fontId="32" fillId="53" borderId="85" xfId="0" applyFont="1" applyFill="1" applyBorder="1" applyAlignment="1">
      <alignment horizontal="center" vertical="center" wrapText="1"/>
    </xf>
    <xf numFmtId="0" fontId="6" fillId="52" borderId="85" xfId="0" applyFont="1" applyFill="1" applyBorder="1" applyAlignment="1">
      <alignment horizontal="center" vertical="center" wrapText="1"/>
    </xf>
    <xf numFmtId="0" fontId="6" fillId="51" borderId="63" xfId="0" applyFont="1" applyFill="1" applyBorder="1" applyAlignment="1">
      <alignment horizontal="center" vertical="center" wrapText="1"/>
    </xf>
    <xf numFmtId="0" fontId="6" fillId="51" borderId="85" xfId="0" applyFont="1" applyFill="1" applyBorder="1" applyAlignment="1">
      <alignment horizontal="center" vertical="center" wrapText="1"/>
    </xf>
    <xf numFmtId="0" fontId="32" fillId="53" borderId="63" xfId="0" applyFont="1" applyFill="1" applyBorder="1" applyAlignment="1">
      <alignment horizontal="center" vertical="center" wrapText="1"/>
    </xf>
    <xf numFmtId="0" fontId="32" fillId="52" borderId="0" xfId="0" applyFont="1" applyFill="1" applyBorder="1" applyAlignment="1">
      <alignment horizontal="center" vertical="center" wrapText="1"/>
    </xf>
    <xf numFmtId="0" fontId="32" fillId="53" borderId="109" xfId="0" applyFont="1" applyFill="1" applyBorder="1" applyAlignment="1">
      <alignment horizontal="center" vertical="center" wrapText="1"/>
    </xf>
    <xf numFmtId="0" fontId="4" fillId="0" borderId="28" xfId="4" applyFont="1" applyFill="1" applyBorder="1" applyAlignment="1">
      <alignment vertical="center" wrapText="1"/>
    </xf>
    <xf numFmtId="0" fontId="4" fillId="3" borderId="35" xfId="4" applyFont="1" applyFill="1" applyBorder="1" applyAlignment="1">
      <alignment vertical="center" wrapText="1"/>
    </xf>
    <xf numFmtId="0" fontId="4" fillId="0" borderId="23" xfId="4" applyFont="1" applyFill="1" applyBorder="1" applyAlignment="1">
      <alignment vertical="center" wrapText="1"/>
    </xf>
    <xf numFmtId="0" fontId="4" fillId="0" borderId="24" xfId="4" applyFont="1" applyFill="1" applyBorder="1" applyAlignment="1">
      <alignment vertical="center" wrapText="1"/>
    </xf>
    <xf numFmtId="0" fontId="4" fillId="0" borderId="110" xfId="4" applyFont="1" applyFill="1" applyBorder="1" applyAlignment="1">
      <alignment vertical="center" wrapText="1"/>
    </xf>
    <xf numFmtId="0" fontId="4" fillId="0" borderId="111" xfId="4" applyFont="1" applyFill="1" applyBorder="1" applyAlignment="1">
      <alignment vertical="center" wrapText="1"/>
    </xf>
    <xf numFmtId="10" fontId="4" fillId="0" borderId="31" xfId="2" applyNumberFormat="1" applyFont="1" applyFill="1" applyBorder="1" applyAlignment="1">
      <alignment horizontal="center" vertical="center" wrapText="1"/>
    </xf>
    <xf numFmtId="0" fontId="4" fillId="0" borderId="34" xfId="4" applyFont="1" applyFill="1" applyBorder="1" applyAlignment="1">
      <alignment vertical="center" wrapText="1"/>
    </xf>
    <xf numFmtId="10" fontId="4" fillId="3" borderId="31" xfId="2" applyNumberFormat="1" applyFont="1" applyFill="1" applyBorder="1" applyAlignment="1">
      <alignment horizontal="center" vertical="center" wrapText="1"/>
    </xf>
    <xf numFmtId="10" fontId="7" fillId="22" borderId="14" xfId="2" applyNumberFormat="1"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4" fillId="4" borderId="14" xfId="4" applyFont="1" applyFill="1" applyBorder="1" applyAlignment="1">
      <alignment horizontal="center" vertical="center" wrapText="1"/>
    </xf>
    <xf numFmtId="0" fontId="4" fillId="4" borderId="15" xfId="4" applyFont="1" applyFill="1" applyBorder="1" applyAlignment="1">
      <alignment horizontal="center" vertical="center" wrapText="1"/>
    </xf>
    <xf numFmtId="0" fontId="4" fillId="4" borderId="7"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7" fillId="5" borderId="3"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7" fillId="5" borderId="10"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6" borderId="1" xfId="4" applyFont="1" applyFill="1" applyBorder="1" applyAlignment="1">
      <alignment horizontal="center" vertical="center" wrapText="1"/>
    </xf>
    <xf numFmtId="0" fontId="7" fillId="6" borderId="9" xfId="4" applyFont="1" applyFill="1" applyBorder="1" applyAlignment="1">
      <alignment horizontal="center" vertical="center" wrapText="1"/>
    </xf>
    <xf numFmtId="0" fontId="7" fillId="6" borderId="10" xfId="4" applyFont="1" applyFill="1" applyBorder="1" applyAlignment="1">
      <alignment horizontal="center" vertical="center" wrapText="1"/>
    </xf>
    <xf numFmtId="0" fontId="7" fillId="6" borderId="14" xfId="4" applyFont="1" applyFill="1" applyBorder="1" applyAlignment="1">
      <alignment horizontal="center" vertical="center" wrapText="1"/>
    </xf>
    <xf numFmtId="0" fontId="7" fillId="6" borderId="15" xfId="4" applyFont="1" applyFill="1" applyBorder="1" applyAlignment="1">
      <alignment horizontal="center" vertical="center" wrapText="1"/>
    </xf>
    <xf numFmtId="0" fontId="7" fillId="6" borderId="3" xfId="4" applyFont="1" applyFill="1" applyBorder="1" applyAlignment="1">
      <alignment horizontal="center" vertical="center" wrapText="1"/>
    </xf>
    <xf numFmtId="0" fontId="7" fillId="7" borderId="15" xfId="4" applyFont="1" applyFill="1" applyBorder="1" applyAlignment="1">
      <alignment horizontal="center" vertical="center" wrapText="1"/>
    </xf>
    <xf numFmtId="0" fontId="7" fillId="6" borderId="5" xfId="4" applyFont="1" applyFill="1" applyBorder="1" applyAlignment="1">
      <alignment horizontal="center" vertical="center" wrapText="1"/>
    </xf>
    <xf numFmtId="0" fontId="7" fillId="6" borderId="13" xfId="4" applyFont="1" applyFill="1" applyBorder="1" applyAlignment="1">
      <alignment horizontal="center" vertical="center" wrapText="1"/>
    </xf>
    <xf numFmtId="0" fontId="26" fillId="18" borderId="52" xfId="0" applyFont="1" applyFill="1" applyBorder="1" applyAlignment="1" applyProtection="1">
      <alignment horizontal="center" vertical="center" wrapText="1"/>
      <protection locked="0"/>
    </xf>
    <xf numFmtId="0" fontId="26" fillId="18" borderId="50" xfId="0" applyFont="1" applyFill="1" applyBorder="1" applyAlignment="1" applyProtection="1">
      <alignment horizontal="center" vertical="center" wrapText="1"/>
      <protection locked="0"/>
    </xf>
    <xf numFmtId="0" fontId="26" fillId="18" borderId="54" xfId="0" applyFont="1" applyFill="1" applyBorder="1" applyAlignment="1" applyProtection="1">
      <alignment horizontal="center" vertical="center" wrapText="1"/>
      <protection locked="0"/>
    </xf>
    <xf numFmtId="0" fontId="26" fillId="18" borderId="53" xfId="0" applyFont="1" applyFill="1" applyBorder="1" applyAlignment="1" applyProtection="1">
      <alignment horizontal="center" vertical="center" wrapText="1"/>
      <protection locked="0"/>
    </xf>
    <xf numFmtId="0" fontId="26" fillId="18" borderId="51" xfId="0" applyFont="1" applyFill="1" applyBorder="1" applyAlignment="1" applyProtection="1">
      <alignment horizontal="center" vertical="center" wrapText="1"/>
      <protection locked="0"/>
    </xf>
    <xf numFmtId="0" fontId="26" fillId="18" borderId="55" xfId="0" applyFont="1" applyFill="1" applyBorder="1" applyAlignment="1" applyProtection="1">
      <alignment horizontal="center" vertical="center" wrapText="1"/>
      <protection locked="0"/>
    </xf>
    <xf numFmtId="0" fontId="26" fillId="18" borderId="56" xfId="0" applyFont="1" applyFill="1" applyBorder="1" applyAlignment="1" applyProtection="1">
      <alignment horizontal="center" vertical="center" wrapText="1"/>
      <protection locked="0"/>
    </xf>
    <xf numFmtId="0" fontId="26" fillId="18" borderId="20" xfId="0" applyFont="1" applyFill="1" applyBorder="1" applyAlignment="1" applyProtection="1">
      <alignment horizontal="center" vertical="center" wrapText="1"/>
      <protection locked="0"/>
    </xf>
    <xf numFmtId="0" fontId="26" fillId="18" borderId="57" xfId="0" applyFont="1" applyFill="1" applyBorder="1" applyAlignment="1" applyProtection="1">
      <alignment horizontal="center" vertical="center" wrapText="1"/>
      <protection locked="0"/>
    </xf>
    <xf numFmtId="0" fontId="7" fillId="8" borderId="1" xfId="4" applyFont="1" applyFill="1" applyBorder="1" applyAlignment="1">
      <alignment horizontal="center" vertical="center" wrapText="1"/>
    </xf>
    <xf numFmtId="0" fontId="7" fillId="8" borderId="13" xfId="4" applyFont="1" applyFill="1" applyBorder="1" applyAlignment="1">
      <alignment horizontal="center" vertical="center" wrapText="1"/>
    </xf>
    <xf numFmtId="0" fontId="7" fillId="9" borderId="1" xfId="4" applyFont="1" applyFill="1" applyBorder="1" applyAlignment="1">
      <alignment horizontal="center" vertical="center" wrapText="1"/>
    </xf>
    <xf numFmtId="0" fontId="7" fillId="9" borderId="13" xfId="4" applyFont="1" applyFill="1" applyBorder="1" applyAlignment="1">
      <alignment horizontal="center" vertical="center" wrapText="1"/>
    </xf>
    <xf numFmtId="0" fontId="7" fillId="9" borderId="5" xfId="4" applyFont="1" applyFill="1" applyBorder="1" applyAlignment="1">
      <alignment horizontal="center" vertical="center" wrapText="1"/>
    </xf>
    <xf numFmtId="0" fontId="7" fillId="9" borderId="2" xfId="4" applyFont="1" applyFill="1" applyBorder="1" applyAlignment="1">
      <alignment horizontal="center" vertical="center" wrapText="1"/>
    </xf>
    <xf numFmtId="0" fontId="7" fillId="9" borderId="10" xfId="4" applyFont="1" applyFill="1" applyBorder="1" applyAlignment="1">
      <alignment horizontal="center" vertical="center" wrapText="1"/>
    </xf>
    <xf numFmtId="0" fontId="36" fillId="9" borderId="1" xfId="4" applyFont="1" applyFill="1" applyBorder="1" applyAlignment="1">
      <alignment horizontal="center" vertical="center" wrapText="1"/>
    </xf>
    <xf numFmtId="0" fontId="36" fillId="9" borderId="5" xfId="4" applyFont="1" applyFill="1" applyBorder="1" applyAlignment="1">
      <alignment horizontal="center" vertical="center" wrapText="1"/>
    </xf>
    <xf numFmtId="0" fontId="36" fillId="9" borderId="4" xfId="4" applyFont="1" applyFill="1" applyBorder="1" applyAlignment="1">
      <alignment horizontal="center" vertical="center" wrapText="1"/>
    </xf>
    <xf numFmtId="0" fontId="36" fillId="9" borderId="6" xfId="4" applyFont="1" applyFill="1" applyBorder="1" applyAlignment="1">
      <alignment horizontal="center" vertical="center" wrapText="1"/>
    </xf>
    <xf numFmtId="0" fontId="29" fillId="24" borderId="28" xfId="4" applyFont="1" applyFill="1" applyBorder="1" applyAlignment="1">
      <alignment horizontal="center" vertical="center" wrapText="1"/>
    </xf>
    <xf numFmtId="0" fontId="29" fillId="24" borderId="30" xfId="4" applyFont="1" applyFill="1" applyBorder="1" applyAlignment="1">
      <alignment horizontal="center" vertical="center" wrapText="1"/>
    </xf>
    <xf numFmtId="0" fontId="29" fillId="24" borderId="32" xfId="4" applyFont="1" applyFill="1" applyBorder="1" applyAlignment="1">
      <alignment horizontal="center" vertical="center" wrapText="1"/>
    </xf>
    <xf numFmtId="0" fontId="7" fillId="8" borderId="15" xfId="4" applyFont="1" applyFill="1" applyBorder="1" applyAlignment="1">
      <alignment horizontal="center" vertical="center" wrapText="1"/>
    </xf>
    <xf numFmtId="0" fontId="7" fillId="8" borderId="7" xfId="4" applyFont="1" applyFill="1" applyBorder="1" applyAlignment="1">
      <alignment horizontal="center" vertical="center" wrapText="1"/>
    </xf>
    <xf numFmtId="0" fontId="7" fillId="8" borderId="14" xfId="4" applyFont="1" applyFill="1" applyBorder="1" applyAlignment="1">
      <alignment horizontal="center" vertical="center" wrapText="1"/>
    </xf>
    <xf numFmtId="0" fontId="29" fillId="8" borderId="1" xfId="4" applyFont="1" applyFill="1" applyBorder="1" applyAlignment="1">
      <alignment horizontal="center" vertical="center" wrapText="1"/>
    </xf>
    <xf numFmtId="0" fontId="29" fillId="8" borderId="13" xfId="4" applyFont="1" applyFill="1" applyBorder="1" applyAlignment="1">
      <alignment horizontal="center" vertical="center" wrapText="1"/>
    </xf>
    <xf numFmtId="0" fontId="7" fillId="10" borderId="1" xfId="4" applyFont="1" applyFill="1" applyBorder="1" applyAlignment="1">
      <alignment horizontal="center" vertical="center" wrapText="1"/>
    </xf>
    <xf numFmtId="0" fontId="7" fillId="10" borderId="13" xfId="4" applyFont="1" applyFill="1" applyBorder="1" applyAlignment="1">
      <alignment horizontal="center" vertical="center" wrapText="1"/>
    </xf>
    <xf numFmtId="0" fontId="7" fillId="10" borderId="4" xfId="4" applyFont="1" applyFill="1" applyBorder="1" applyAlignment="1">
      <alignment horizontal="center" vertical="center" wrapText="1"/>
    </xf>
    <xf numFmtId="0" fontId="7" fillId="10" borderId="8" xfId="4" applyFont="1" applyFill="1" applyBorder="1" applyAlignment="1">
      <alignment horizontal="center" vertical="center" wrapText="1"/>
    </xf>
    <xf numFmtId="0" fontId="7" fillId="10" borderId="15" xfId="4" applyFont="1" applyFill="1" applyBorder="1" applyAlignment="1">
      <alignment horizontal="center" vertical="center" wrapText="1"/>
    </xf>
    <xf numFmtId="0" fontId="7" fillId="10" borderId="7" xfId="4" applyFont="1" applyFill="1" applyBorder="1" applyAlignment="1">
      <alignment horizontal="center" vertical="center" wrapText="1"/>
    </xf>
    <xf numFmtId="0" fontId="6" fillId="36" borderId="6" xfId="0" applyFont="1" applyFill="1" applyBorder="1" applyAlignment="1">
      <alignment horizontal="center" vertical="center" wrapText="1"/>
    </xf>
    <xf numFmtId="0" fontId="35" fillId="3" borderId="78" xfId="0" applyFont="1" applyFill="1" applyBorder="1"/>
    <xf numFmtId="0" fontId="7" fillId="11" borderId="1" xfId="4" applyFont="1" applyFill="1" applyBorder="1" applyAlignment="1">
      <alignment horizontal="center" vertical="center" wrapText="1"/>
    </xf>
    <xf numFmtId="0" fontId="7" fillId="11" borderId="13" xfId="4" applyFont="1" applyFill="1" applyBorder="1" applyAlignment="1">
      <alignment horizontal="center" vertical="center" wrapText="1"/>
    </xf>
    <xf numFmtId="0" fontId="6" fillId="34" borderId="79" xfId="0" applyFont="1" applyFill="1" applyBorder="1" applyAlignment="1">
      <alignment horizontal="center" vertical="center" wrapText="1"/>
    </xf>
    <xf numFmtId="0" fontId="35" fillId="3" borderId="6" xfId="0" applyFont="1" applyFill="1" applyBorder="1"/>
    <xf numFmtId="0" fontId="32" fillId="35" borderId="79" xfId="0" applyFont="1" applyFill="1" applyBorder="1" applyAlignment="1">
      <alignment horizontal="center" vertical="center" wrapText="1"/>
    </xf>
    <xf numFmtId="0" fontId="32" fillId="34" borderId="79" xfId="0" applyFont="1" applyFill="1" applyBorder="1" applyAlignment="1">
      <alignment horizontal="center" vertical="center" wrapText="1"/>
    </xf>
    <xf numFmtId="0" fontId="6" fillId="35" borderId="79" xfId="0" applyFont="1" applyFill="1" applyBorder="1" applyAlignment="1">
      <alignment horizontal="center" vertical="center" wrapText="1"/>
    </xf>
    <xf numFmtId="0" fontId="32" fillId="43" borderId="79" xfId="0" applyFont="1" applyFill="1" applyBorder="1" applyAlignment="1">
      <alignment horizontal="center" vertical="center" wrapText="1"/>
    </xf>
    <xf numFmtId="0" fontId="6" fillId="36" borderId="79" xfId="0" applyFont="1" applyFill="1" applyBorder="1" applyAlignment="1">
      <alignment horizontal="center" vertical="center" wrapText="1"/>
    </xf>
    <xf numFmtId="0" fontId="32" fillId="39" borderId="79" xfId="0" applyFont="1" applyFill="1" applyBorder="1" applyAlignment="1">
      <alignment horizontal="center" vertical="center" wrapText="1"/>
    </xf>
    <xf numFmtId="0" fontId="32" fillId="41" borderId="79" xfId="0" applyFont="1" applyFill="1" applyBorder="1" applyAlignment="1">
      <alignment horizontal="center" vertical="center" wrapText="1"/>
    </xf>
    <xf numFmtId="0" fontId="32" fillId="44" borderId="79" xfId="0" applyFont="1" applyFill="1" applyBorder="1" applyAlignment="1">
      <alignment horizontal="center" vertical="center" wrapText="1"/>
    </xf>
    <xf numFmtId="0" fontId="32" fillId="45" borderId="79" xfId="0" applyFont="1" applyFill="1" applyBorder="1" applyAlignment="1">
      <alignment horizontal="center" vertical="center" wrapText="1"/>
    </xf>
    <xf numFmtId="0" fontId="32" fillId="46" borderId="79" xfId="0" applyFont="1" applyFill="1" applyBorder="1" applyAlignment="1">
      <alignment horizontal="center" vertical="center" wrapText="1"/>
    </xf>
    <xf numFmtId="0" fontId="7" fillId="0" borderId="0" xfId="4" applyFont="1" applyAlignment="1">
      <alignment horizontal="center" vertical="center" wrapText="1"/>
    </xf>
    <xf numFmtId="0" fontId="32" fillId="49" borderId="79" xfId="0" applyFont="1" applyFill="1" applyBorder="1" applyAlignment="1">
      <alignment horizontal="center" vertical="center" wrapText="1"/>
    </xf>
    <xf numFmtId="0" fontId="32" fillId="52" borderId="79" xfId="0" applyFont="1" applyFill="1" applyBorder="1" applyAlignment="1">
      <alignment horizontal="center" vertical="center" wrapText="1"/>
    </xf>
    <xf numFmtId="0" fontId="32" fillId="51" borderId="79" xfId="0" applyFont="1" applyFill="1" applyBorder="1" applyAlignment="1">
      <alignment horizontal="center" vertical="center" wrapText="1"/>
    </xf>
    <xf numFmtId="0" fontId="6" fillId="52" borderId="79" xfId="0" applyFont="1" applyFill="1" applyBorder="1" applyAlignment="1">
      <alignment horizontal="center" vertical="center" wrapText="1"/>
    </xf>
    <xf numFmtId="0" fontId="8" fillId="6" borderId="14" xfId="4" applyFont="1" applyFill="1" applyBorder="1" applyAlignment="1">
      <alignment horizontal="center" vertical="center" wrapText="1"/>
    </xf>
    <xf numFmtId="0" fontId="8" fillId="6" borderId="7" xfId="4" applyFont="1" applyFill="1" applyBorder="1" applyAlignment="1">
      <alignment horizontal="center" vertical="center" wrapText="1"/>
    </xf>
    <xf numFmtId="0" fontId="4" fillId="0" borderId="3" xfId="4" applyFont="1" applyBorder="1" applyAlignment="1">
      <alignment horizontal="left" vertical="center" wrapText="1"/>
    </xf>
    <xf numFmtId="0" fontId="4" fillId="0" borderId="0" xfId="4" applyFont="1" applyAlignment="1">
      <alignment horizontal="left" vertical="center" wrapText="1"/>
    </xf>
    <xf numFmtId="0" fontId="7" fillId="0" borderId="0" xfId="4" applyFont="1" applyAlignment="1">
      <alignment horizontal="left" vertical="center" wrapText="1"/>
    </xf>
    <xf numFmtId="0" fontId="4" fillId="0" borderId="0" xfId="4" applyFont="1" applyAlignment="1">
      <alignment horizontal="justify" vertical="center" wrapText="1"/>
    </xf>
    <xf numFmtId="0" fontId="32" fillId="51" borderId="85" xfId="0" applyFont="1" applyFill="1" applyBorder="1" applyAlignment="1">
      <alignment horizontal="center" vertical="center" wrapText="1"/>
    </xf>
    <xf numFmtId="0" fontId="35" fillId="3" borderId="0" xfId="0" applyFont="1" applyFill="1" applyBorder="1"/>
    <xf numFmtId="0" fontId="35" fillId="3" borderId="66" xfId="0" applyFont="1" applyFill="1" applyBorder="1"/>
    <xf numFmtId="0" fontId="6" fillId="52" borderId="85" xfId="0" applyFont="1" applyFill="1" applyBorder="1" applyAlignment="1">
      <alignment horizontal="center" vertical="center" wrapText="1"/>
    </xf>
    <xf numFmtId="0" fontId="32" fillId="52" borderId="85" xfId="0" applyFont="1" applyFill="1" applyBorder="1" applyAlignment="1">
      <alignment horizontal="center" vertical="center" wrapText="1"/>
    </xf>
    <xf numFmtId="0" fontId="32" fillId="49" borderId="0" xfId="0" applyFont="1" applyFill="1" applyBorder="1" applyAlignment="1">
      <alignment horizontal="center" vertical="center" wrapText="1"/>
    </xf>
    <xf numFmtId="0" fontId="32" fillId="49" borderId="85" xfId="0" applyFont="1" applyFill="1" applyBorder="1" applyAlignment="1">
      <alignment horizontal="center" vertical="center" wrapText="1"/>
    </xf>
    <xf numFmtId="0" fontId="32" fillId="41" borderId="0" xfId="0" applyFont="1" applyFill="1" applyBorder="1" applyAlignment="1">
      <alignment horizontal="center" vertical="center" wrapText="1"/>
    </xf>
    <xf numFmtId="0" fontId="32" fillId="43" borderId="0" xfId="0" applyFont="1" applyFill="1" applyBorder="1" applyAlignment="1">
      <alignment horizontal="center" vertical="center" wrapText="1"/>
    </xf>
    <xf numFmtId="0" fontId="32" fillId="44" borderId="85" xfId="0" applyFont="1" applyFill="1" applyBorder="1" applyAlignment="1">
      <alignment horizontal="center" vertical="center" wrapText="1"/>
    </xf>
    <xf numFmtId="0" fontId="32" fillId="45" borderId="0" xfId="0" applyFont="1" applyFill="1" applyBorder="1" applyAlignment="1">
      <alignment horizontal="center" vertical="center" wrapText="1"/>
    </xf>
    <xf numFmtId="0" fontId="32" fillId="44" borderId="0" xfId="0" applyFont="1" applyFill="1" applyBorder="1" applyAlignment="1">
      <alignment horizontal="center" vertical="center" wrapText="1"/>
    </xf>
    <xf numFmtId="0" fontId="24" fillId="24" borderId="28" xfId="4" applyFont="1" applyFill="1" applyBorder="1" applyAlignment="1">
      <alignment horizontal="center" vertical="center" wrapText="1"/>
    </xf>
    <xf numFmtId="0" fontId="24" fillId="24" borderId="30" xfId="4" applyFont="1" applyFill="1" applyBorder="1" applyAlignment="1">
      <alignment horizontal="center" vertical="center" wrapText="1"/>
    </xf>
    <xf numFmtId="0" fontId="24" fillId="24" borderId="32" xfId="4" applyFont="1" applyFill="1" applyBorder="1" applyAlignment="1">
      <alignment horizontal="center" vertical="center" wrapText="1"/>
    </xf>
    <xf numFmtId="0" fontId="7" fillId="18" borderId="56"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7" fillId="18" borderId="57" xfId="0" applyFont="1" applyFill="1" applyBorder="1" applyAlignment="1" applyProtection="1">
      <alignment horizontal="center" vertical="center" wrapText="1"/>
      <protection locked="0"/>
    </xf>
    <xf numFmtId="0" fontId="7" fillId="2" borderId="1" xfId="4" applyFont="1" applyFill="1" applyBorder="1" applyAlignment="1">
      <alignment horizontal="center" vertical="center" wrapText="1"/>
    </xf>
    <xf numFmtId="0" fontId="7" fillId="2" borderId="13" xfId="4"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85" xfId="0" applyFont="1" applyFill="1" applyBorder="1" applyAlignment="1">
      <alignment horizontal="center" vertical="center" wrapText="1"/>
    </xf>
    <xf numFmtId="0" fontId="4" fillId="0" borderId="0" xfId="4" applyFont="1" applyFill="1" applyBorder="1" applyAlignment="1">
      <alignment horizontal="justify" vertical="center" wrapText="1"/>
    </xf>
    <xf numFmtId="0" fontId="7" fillId="0" borderId="0" xfId="4" applyFont="1" applyFill="1" applyBorder="1" applyAlignment="1">
      <alignment horizontal="left" vertical="center" wrapText="1"/>
    </xf>
    <xf numFmtId="0" fontId="32" fillId="34" borderId="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85" xfId="0" applyFont="1" applyFill="1" applyBorder="1" applyAlignment="1">
      <alignment horizontal="center" vertical="center" wrapText="1"/>
    </xf>
    <xf numFmtId="0" fontId="32" fillId="35" borderId="85" xfId="0" applyFont="1" applyFill="1" applyBorder="1" applyAlignment="1">
      <alignment horizontal="center" vertical="center" wrapText="1"/>
    </xf>
    <xf numFmtId="0" fontId="32" fillId="34" borderId="85" xfId="0" applyFont="1" applyFill="1" applyBorder="1" applyAlignment="1">
      <alignment horizontal="center" vertical="center" wrapText="1"/>
    </xf>
    <xf numFmtId="0" fontId="6" fillId="41" borderId="9" xfId="0" applyFont="1" applyFill="1" applyBorder="1" applyAlignment="1">
      <alignment horizontal="center" vertical="center" wrapText="1"/>
    </xf>
    <xf numFmtId="0" fontId="32" fillId="39" borderId="83" xfId="0" applyFont="1" applyFill="1" applyBorder="1" applyAlignment="1">
      <alignment horizontal="center" vertical="center" wrapText="1"/>
    </xf>
    <xf numFmtId="0" fontId="32" fillId="39" borderId="75" xfId="0" applyFont="1" applyFill="1" applyBorder="1" applyAlignment="1">
      <alignment horizontal="center" vertical="center" wrapText="1"/>
    </xf>
    <xf numFmtId="0" fontId="32" fillId="35" borderId="0" xfId="0" applyFont="1" applyFill="1" applyBorder="1" applyAlignment="1">
      <alignment horizontal="center" vertical="center" wrapText="1"/>
    </xf>
    <xf numFmtId="0" fontId="32" fillId="46" borderId="0" xfId="0" applyFont="1" applyFill="1" applyBorder="1" applyAlignment="1">
      <alignment horizontal="center" vertical="center" wrapText="1"/>
    </xf>
    <xf numFmtId="0" fontId="32" fillId="46" borderId="85" xfId="0" applyFont="1" applyFill="1" applyBorder="1" applyAlignment="1">
      <alignment horizontal="center" vertical="center" wrapText="1"/>
    </xf>
    <xf numFmtId="0" fontId="32" fillId="39" borderId="85" xfId="0" applyFont="1" applyFill="1" applyBorder="1" applyAlignment="1">
      <alignment horizontal="center" vertical="center" wrapText="1"/>
    </xf>
    <xf numFmtId="0" fontId="8" fillId="22" borderId="14" xfId="4" applyFont="1" applyFill="1" applyBorder="1" applyAlignment="1">
      <alignment horizontal="center" vertical="center" wrapText="1"/>
    </xf>
    <xf numFmtId="0" fontId="8" fillId="22" borderId="7" xfId="4" applyFont="1" applyFill="1" applyBorder="1" applyAlignment="1">
      <alignment horizontal="center" vertical="center" wrapText="1"/>
    </xf>
    <xf numFmtId="0" fontId="4" fillId="0" borderId="3" xfId="4" applyFont="1" applyFill="1" applyBorder="1" applyAlignment="1">
      <alignment horizontal="left" vertical="center" wrapText="1"/>
    </xf>
    <xf numFmtId="0" fontId="4" fillId="0" borderId="0" xfId="4" applyFont="1" applyFill="1" applyBorder="1" applyAlignment="1">
      <alignment horizontal="left" vertical="center" wrapText="1"/>
    </xf>
    <xf numFmtId="0" fontId="7" fillId="0" borderId="0" xfId="4" applyFont="1" applyFill="1" applyBorder="1" applyAlignment="1">
      <alignment horizontal="center" vertical="center" wrapText="1"/>
    </xf>
    <xf numFmtId="0" fontId="29" fillId="8" borderId="4" xfId="4" applyFont="1" applyFill="1" applyBorder="1" applyAlignment="1">
      <alignment horizontal="center" vertical="center" wrapText="1"/>
    </xf>
    <xf numFmtId="0" fontId="29" fillId="8" borderId="8" xfId="4" applyFont="1" applyFill="1" applyBorder="1" applyAlignment="1">
      <alignment horizontal="center" vertical="center" wrapText="1"/>
    </xf>
    <xf numFmtId="0" fontId="9" fillId="4" borderId="11" xfId="4" applyFont="1" applyFill="1" applyBorder="1" applyAlignment="1">
      <alignment horizontal="center" vertical="center"/>
    </xf>
    <xf numFmtId="0" fontId="9" fillId="6" borderId="2" xfId="4" applyFont="1" applyFill="1" applyBorder="1" applyAlignment="1">
      <alignment horizontal="center" vertical="center" wrapText="1"/>
    </xf>
    <xf numFmtId="0" fontId="9" fillId="6" borderId="36" xfId="4" applyFont="1" applyFill="1" applyBorder="1" applyAlignment="1">
      <alignment horizontal="center" vertical="center" wrapText="1"/>
    </xf>
    <xf numFmtId="0" fontId="9" fillId="6" borderId="14" xfId="4" applyFont="1" applyFill="1" applyBorder="1" applyAlignment="1">
      <alignment horizontal="center" vertical="center" wrapText="1"/>
    </xf>
    <xf numFmtId="0" fontId="9" fillId="6" borderId="7" xfId="4" applyFont="1" applyFill="1" applyBorder="1" applyAlignment="1">
      <alignment horizontal="center" vertical="center" wrapText="1"/>
    </xf>
    <xf numFmtId="49" fontId="14" fillId="0" borderId="42" xfId="4" applyNumberFormat="1" applyFont="1" applyBorder="1" applyAlignment="1">
      <alignment horizontal="center" vertical="center"/>
    </xf>
    <xf numFmtId="0" fontId="14" fillId="0" borderId="42" xfId="4" applyFont="1" applyBorder="1" applyAlignment="1">
      <alignment horizontal="center" vertical="center" wrapText="1"/>
    </xf>
    <xf numFmtId="0" fontId="13" fillId="0" borderId="37" xfId="0" applyFont="1" applyBorder="1" applyAlignment="1">
      <alignment horizontal="center"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49" fontId="14" fillId="0" borderId="39" xfId="4" applyNumberFormat="1" applyFont="1" applyBorder="1" applyAlignment="1">
      <alignment horizontal="center" vertical="center" wrapText="1"/>
    </xf>
    <xf numFmtId="49" fontId="14" fillId="0" borderId="42" xfId="4" applyNumberFormat="1" applyFont="1" applyBorder="1" applyAlignment="1">
      <alignment horizontal="center" vertical="center" wrapText="1"/>
    </xf>
    <xf numFmtId="49" fontId="14" fillId="0" borderId="41" xfId="4" applyNumberFormat="1" applyFont="1" applyBorder="1" applyAlignment="1">
      <alignment horizontal="center" vertical="center" wrapText="1"/>
    </xf>
    <xf numFmtId="0" fontId="6" fillId="4" borderId="14" xfId="4" applyFill="1" applyBorder="1" applyAlignment="1">
      <alignment horizontal="center"/>
    </xf>
    <xf numFmtId="0" fontId="6" fillId="4" borderId="15" xfId="4" applyFill="1" applyBorder="1" applyAlignment="1">
      <alignment horizontal="center"/>
    </xf>
    <xf numFmtId="0" fontId="2" fillId="4" borderId="15" xfId="4" applyFont="1" applyFill="1" applyBorder="1" applyAlignment="1">
      <alignment horizontal="center"/>
    </xf>
    <xf numFmtId="0" fontId="6" fillId="4" borderId="7" xfId="4" applyFill="1" applyBorder="1" applyAlignment="1">
      <alignment horizontal="center"/>
    </xf>
    <xf numFmtId="0" fontId="50" fillId="0" borderId="2" xfId="4" applyFont="1" applyBorder="1" applyAlignment="1">
      <alignment horizontal="center"/>
    </xf>
    <xf numFmtId="0" fontId="50" fillId="0" borderId="3" xfId="4" applyFont="1" applyBorder="1" applyAlignment="1">
      <alignment horizontal="center"/>
    </xf>
    <xf numFmtId="0" fontId="6" fillId="0" borderId="3" xfId="4" applyBorder="1" applyAlignment="1">
      <alignment horizontal="center"/>
    </xf>
    <xf numFmtId="0" fontId="50" fillId="0" borderId="4" xfId="4" applyFont="1" applyBorder="1" applyAlignment="1">
      <alignment horizontal="center"/>
    </xf>
    <xf numFmtId="0" fontId="50" fillId="0" borderId="9" xfId="4" applyFont="1" applyBorder="1" applyAlignment="1">
      <alignment horizontal="center"/>
    </xf>
    <xf numFmtId="0" fontId="50" fillId="0" borderId="0" xfId="4" applyFont="1" applyAlignment="1">
      <alignment horizontal="center"/>
    </xf>
    <xf numFmtId="0" fontId="6" fillId="0" borderId="0" xfId="4" applyAlignment="1">
      <alignment horizontal="center"/>
    </xf>
    <xf numFmtId="0" fontId="50" fillId="0" borderId="6" xfId="4" applyFont="1" applyBorder="1" applyAlignment="1">
      <alignment horizontal="center"/>
    </xf>
    <xf numFmtId="0" fontId="50" fillId="0" borderId="10" xfId="4" applyFont="1" applyBorder="1" applyAlignment="1">
      <alignment horizontal="center"/>
    </xf>
    <xf numFmtId="0" fontId="50" fillId="0" borderId="11" xfId="4" applyFont="1" applyBorder="1" applyAlignment="1">
      <alignment horizontal="center"/>
    </xf>
    <xf numFmtId="0" fontId="6" fillId="0" borderId="11" xfId="4" applyBorder="1" applyAlignment="1">
      <alignment horizontal="center"/>
    </xf>
    <xf numFmtId="0" fontId="50" fillId="0" borderId="8" xfId="4" applyFont="1" applyBorder="1" applyAlignment="1">
      <alignment horizontal="center"/>
    </xf>
    <xf numFmtId="49" fontId="15" fillId="0" borderId="39" xfId="4" applyNumberFormat="1" applyFont="1" applyBorder="1" applyAlignment="1">
      <alignment horizontal="center" vertical="center" wrapText="1"/>
    </xf>
    <xf numFmtId="49" fontId="14" fillId="0" borderId="40" xfId="4" applyNumberFormat="1" applyFont="1" applyBorder="1" applyAlignment="1">
      <alignment horizontal="center" vertical="center" wrapText="1"/>
    </xf>
    <xf numFmtId="49" fontId="14" fillId="0" borderId="37" xfId="4" applyNumberFormat="1" applyFont="1" applyBorder="1" applyAlignment="1">
      <alignment horizontal="center" vertical="center" wrapText="1"/>
    </xf>
    <xf numFmtId="49" fontId="14" fillId="0" borderId="38" xfId="4" applyNumberFormat="1" applyFont="1" applyBorder="1" applyAlignment="1">
      <alignment horizontal="center" vertical="center" wrapText="1"/>
    </xf>
    <xf numFmtId="49" fontId="14" fillId="3" borderId="41" xfId="4" applyNumberFormat="1" applyFont="1" applyFill="1" applyBorder="1" applyAlignment="1">
      <alignment horizontal="center" vertical="center" wrapText="1"/>
    </xf>
    <xf numFmtId="49" fontId="14" fillId="3" borderId="39" xfId="4" applyNumberFormat="1" applyFont="1" applyFill="1" applyBorder="1" applyAlignment="1">
      <alignment horizontal="center" vertical="center" wrapText="1"/>
    </xf>
    <xf numFmtId="0" fontId="7" fillId="4" borderId="11" xfId="4" applyFont="1" applyFill="1" applyBorder="1" applyAlignment="1">
      <alignment horizontal="center" vertical="center"/>
    </xf>
    <xf numFmtId="0" fontId="7" fillId="6" borderId="2" xfId="4" applyFont="1" applyFill="1" applyBorder="1" applyAlignment="1">
      <alignment horizontal="center" vertical="center" wrapText="1"/>
    </xf>
    <xf numFmtId="0" fontId="7" fillId="6" borderId="4" xfId="4" applyFont="1" applyFill="1" applyBorder="1" applyAlignment="1">
      <alignment horizontal="center" vertical="center" wrapText="1"/>
    </xf>
    <xf numFmtId="0" fontId="7" fillId="6" borderId="7" xfId="4" applyFont="1" applyFill="1" applyBorder="1" applyAlignment="1">
      <alignment horizontal="center" vertical="center" wrapText="1"/>
    </xf>
    <xf numFmtId="49" fontId="17" fillId="0" borderId="44" xfId="0" quotePrefix="1" applyNumberFormat="1" applyFont="1" applyBorder="1" applyAlignment="1">
      <alignment horizontal="center" vertical="center" wrapText="1"/>
    </xf>
    <xf numFmtId="0" fontId="18" fillId="0" borderId="45" xfId="0" applyFont="1" applyBorder="1"/>
    <xf numFmtId="0" fontId="18" fillId="0" borderId="46" xfId="0" applyFont="1" applyBorder="1"/>
    <xf numFmtId="49" fontId="17" fillId="14" borderId="47" xfId="0" quotePrefix="1" applyNumberFormat="1" applyFont="1" applyFill="1" applyBorder="1" applyAlignment="1">
      <alignment horizontal="center" vertical="center" wrapText="1"/>
    </xf>
    <xf numFmtId="49" fontId="17" fillId="14" borderId="49" xfId="0" quotePrefix="1" applyNumberFormat="1" applyFont="1" applyFill="1" applyBorder="1" applyAlignment="1">
      <alignment horizontal="center" vertical="center" wrapText="1"/>
    </xf>
    <xf numFmtId="49" fontId="17" fillId="14" borderId="47" xfId="0" applyNumberFormat="1" applyFont="1" applyFill="1" applyBorder="1" applyAlignment="1">
      <alignment horizontal="center" vertical="center" wrapText="1"/>
    </xf>
    <xf numFmtId="49" fontId="17" fillId="14" borderId="49" xfId="0" applyNumberFormat="1" applyFont="1" applyFill="1" applyBorder="1" applyAlignment="1">
      <alignment horizontal="center" vertical="center" wrapText="1"/>
    </xf>
    <xf numFmtId="49" fontId="17" fillId="0" borderId="45" xfId="0" quotePrefix="1" applyNumberFormat="1" applyFont="1" applyBorder="1" applyAlignment="1">
      <alignment horizontal="center" vertical="center" wrapText="1"/>
    </xf>
    <xf numFmtId="49" fontId="17" fillId="0" borderId="46" xfId="0" quotePrefix="1" applyNumberFormat="1" applyFont="1" applyBorder="1" applyAlignment="1">
      <alignment horizontal="center" vertical="center" wrapText="1"/>
    </xf>
    <xf numFmtId="0" fontId="7" fillId="6" borderId="2" xfId="4" quotePrefix="1" applyFont="1" applyFill="1" applyBorder="1" applyAlignment="1">
      <alignment horizontal="center" vertical="center" wrapText="1"/>
    </xf>
    <xf numFmtId="0" fontId="40" fillId="44" borderId="72" xfId="0" applyFont="1" applyFill="1" applyBorder="1" applyAlignment="1">
      <alignment vertical="center" wrapText="1"/>
    </xf>
  </cellXfs>
  <cellStyles count="10">
    <cellStyle name="Hipervínculo" xfId="1" builtinId="8"/>
    <cellStyle name="Millares" xfId="3" builtinId="3"/>
    <cellStyle name="Millares [0] 2" xfId="5" xr:uid="{0B24FA14-4563-42A8-BCA7-6157206FEBE3}"/>
    <cellStyle name="Millares [0] 2 2" xfId="8" xr:uid="{0F24B8BB-0613-4952-8BBA-7420549ECBDF}"/>
    <cellStyle name="Millares 2" xfId="6" xr:uid="{98373B5D-15F6-47E6-AF78-F4B537F18C73}"/>
    <cellStyle name="Millares 2 2" xfId="9" xr:uid="{ABE0C250-1B43-44E3-99B8-4613B9E8B2F4}"/>
    <cellStyle name="Millares 3" xfId="7" xr:uid="{2E415149-E9FC-4734-9FF0-D8B987130372}"/>
    <cellStyle name="Normal" xfId="0" builtinId="0"/>
    <cellStyle name="Normal 2" xfId="4" xr:uid="{00000000-0005-0000-0000-000004000000}"/>
    <cellStyle name="Porcentaje" xfId="2" builtinId="5"/>
  </cellStyles>
  <dxfs count="0"/>
  <tableStyles count="0" defaultTableStyle="TableStyleMedium2" defaultPivotStyle="PivotStyleLight16"/>
  <colors>
    <mruColors>
      <color rgb="FF99FF99"/>
      <color rgb="FFCCFFCC"/>
      <color rgb="FFE1FFE1"/>
      <color rgb="FF66FF66"/>
      <color rgb="FF00FF00"/>
      <color rgb="FFFF00FF"/>
      <color rgb="FFA8D08D"/>
      <color rgb="FFB4D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50"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a:extLst>
            <a:ext uri="{FF2B5EF4-FFF2-40B4-BE49-F238E27FC236}">
              <a16:creationId xmlns:a16="http://schemas.microsoft.com/office/drawing/2014/main" id="{00000000-0008-0000-0000-00000A000000}"/>
            </a:ext>
          </a:extLst>
        </xdr:cNvPr>
        <xdr:cNvGrpSpPr>
          <a:grpSpLocks/>
        </xdr:cNvGrpSpPr>
      </xdr:nvGrpSpPr>
      <xdr:grpSpPr bwMode="auto">
        <a:xfrm>
          <a:off x="2" y="0"/>
          <a:ext cx="10048873" cy="1657350"/>
          <a:chOff x="57151" y="47625"/>
          <a:chExt cx="6181724" cy="1581150"/>
        </a:xfrm>
      </xdr:grpSpPr>
      <xdr:pic>
        <xdr:nvPicPr>
          <xdr:cNvPr id="11" name="1 Imagen" descr="ESCUDO-transp-lema-blanco.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a:extLst>
              <a:ext uri="{FF2B5EF4-FFF2-40B4-BE49-F238E27FC236}">
                <a16:creationId xmlns:a16="http://schemas.microsoft.com/office/drawing/2014/main" id="{00000000-0008-0000-0000-00000C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58616</xdr:rowOff>
    </xdr:from>
    <xdr:to>
      <xdr:col>21</xdr:col>
      <xdr:colOff>1049365</xdr:colOff>
      <xdr:row>1</xdr:row>
      <xdr:rowOff>2545</xdr:rowOff>
    </xdr:to>
    <xdr:grpSp>
      <xdr:nvGrpSpPr>
        <xdr:cNvPr id="2" name="1 Grupo">
          <a:extLst>
            <a:ext uri="{FF2B5EF4-FFF2-40B4-BE49-F238E27FC236}">
              <a16:creationId xmlns:a16="http://schemas.microsoft.com/office/drawing/2014/main" id="{2B52812A-D693-41AE-878F-A26C796854D1}"/>
            </a:ext>
          </a:extLst>
        </xdr:cNvPr>
        <xdr:cNvGrpSpPr>
          <a:grpSpLocks/>
        </xdr:cNvGrpSpPr>
      </xdr:nvGrpSpPr>
      <xdr:grpSpPr bwMode="auto">
        <a:xfrm>
          <a:off x="0" y="58616"/>
          <a:ext cx="17241865" cy="977149"/>
          <a:chOff x="57150" y="170793"/>
          <a:chExt cx="9286439" cy="1863624"/>
        </a:xfrm>
      </xdr:grpSpPr>
      <xdr:pic>
        <xdr:nvPicPr>
          <xdr:cNvPr id="3" name="1 Imagen" descr="ESCUDO-transp-lema-blanco.png">
            <a:extLst>
              <a:ext uri="{FF2B5EF4-FFF2-40B4-BE49-F238E27FC236}">
                <a16:creationId xmlns:a16="http://schemas.microsoft.com/office/drawing/2014/main" id="{E0F6DCE2-B03C-E37A-C0A0-F635F216C8FA}"/>
              </a:ext>
            </a:extLst>
          </xdr:cNvPr>
          <xdr:cNvPicPr>
            <a:picLocks noChangeAspect="1"/>
          </xdr:cNvPicPr>
        </xdr:nvPicPr>
        <xdr:blipFill>
          <a:blip xmlns:r="http://schemas.openxmlformats.org/officeDocument/2006/relationships" r:embed="rId1" cstate="print"/>
          <a:srcRect/>
          <a:stretch>
            <a:fillRect/>
          </a:stretch>
        </xdr:blipFill>
        <xdr:spPr bwMode="auto">
          <a:xfrm>
            <a:off x="57150" y="170793"/>
            <a:ext cx="239804" cy="1863624"/>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B3342AF5-DC38-57C1-664A-228C6E385330}"/>
              </a:ext>
            </a:extLst>
          </xdr:cNvPr>
          <xdr:cNvSpPr txBox="1"/>
        </xdr:nvSpPr>
        <xdr:spPr>
          <a:xfrm>
            <a:off x="311869" y="310547"/>
            <a:ext cx="9031720" cy="1553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58616</xdr:rowOff>
    </xdr:from>
    <xdr:to>
      <xdr:col>19</xdr:col>
      <xdr:colOff>696056</xdr:colOff>
      <xdr:row>0</xdr:row>
      <xdr:rowOff>945520</xdr:rowOff>
    </xdr:to>
    <xdr:grpSp>
      <xdr:nvGrpSpPr>
        <xdr:cNvPr id="2" name="1 Grupo">
          <a:extLst>
            <a:ext uri="{FF2B5EF4-FFF2-40B4-BE49-F238E27FC236}">
              <a16:creationId xmlns:a16="http://schemas.microsoft.com/office/drawing/2014/main" id="{00000000-0008-0000-0100-000002000000}"/>
            </a:ext>
          </a:extLst>
        </xdr:cNvPr>
        <xdr:cNvGrpSpPr>
          <a:grpSpLocks/>
        </xdr:cNvGrpSpPr>
      </xdr:nvGrpSpPr>
      <xdr:grpSpPr bwMode="auto">
        <a:xfrm>
          <a:off x="0" y="58616"/>
          <a:ext cx="20004592" cy="886904"/>
          <a:chOff x="57150" y="170793"/>
          <a:chExt cx="8104898" cy="1863624"/>
        </a:xfrm>
      </xdr:grpSpPr>
      <xdr:pic>
        <xdr:nvPicPr>
          <xdr:cNvPr id="3" name="1 Imagen" descr="ESCUDO-transp-lema-blanc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170793"/>
            <a:ext cx="239804" cy="1863624"/>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311869" y="310548"/>
            <a:ext cx="7850179" cy="1553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CC3454E8-27FB-4C34-8274-7862C422C61A}"/>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a:extLst>
            <a:ext uri="{FF2B5EF4-FFF2-40B4-BE49-F238E27FC236}">
              <a16:creationId xmlns:a16="http://schemas.microsoft.com/office/drawing/2014/main" id="{DAC75E31-9F83-4903-ACF3-9E2B41611884}"/>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0</xdr:colOff>
      <xdr:row>0</xdr:row>
      <xdr:rowOff>0</xdr:rowOff>
    </xdr:from>
    <xdr:to>
      <xdr:col>0</xdr:col>
      <xdr:colOff>1209675</xdr:colOff>
      <xdr:row>0</xdr:row>
      <xdr:rowOff>1581150</xdr:rowOff>
    </xdr:to>
    <xdr:pic>
      <xdr:nvPicPr>
        <xdr:cNvPr id="4" name="1 Imagen" descr="ESCUDO-transp-lema-blanco.png">
          <a:extLst>
            <a:ext uri="{FF2B5EF4-FFF2-40B4-BE49-F238E27FC236}">
              <a16:creationId xmlns:a16="http://schemas.microsoft.com/office/drawing/2014/main" id="{1FA4DF99-198A-43DC-8DAD-6F4702F0167E}"/>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5" name="3 CuadroTexto">
          <a:extLst>
            <a:ext uri="{FF2B5EF4-FFF2-40B4-BE49-F238E27FC236}">
              <a16:creationId xmlns:a16="http://schemas.microsoft.com/office/drawing/2014/main" id="{C57F1A09-4EF7-4C1D-A634-14C8208115D7}"/>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119063</xdr:colOff>
      <xdr:row>0</xdr:row>
      <xdr:rowOff>107157</xdr:rowOff>
    </xdr:from>
    <xdr:to>
      <xdr:col>1</xdr:col>
      <xdr:colOff>571501</xdr:colOff>
      <xdr:row>0</xdr:row>
      <xdr:rowOff>1750220</xdr:rowOff>
    </xdr:to>
    <xdr:pic>
      <xdr:nvPicPr>
        <xdr:cNvPr id="2"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3"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4" name="1 Imagen" descr="ESCUDO-transp-lema-blanco.png">
          <a:extLst>
            <a:ext uri="{FF2B5EF4-FFF2-40B4-BE49-F238E27FC236}">
              <a16:creationId xmlns:a16="http://schemas.microsoft.com/office/drawing/2014/main" id="{BCB7150D-2DAE-4FBB-8946-EF28B542AC09}"/>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5" name="5 CuadroTexto">
          <a:extLst>
            <a:ext uri="{FF2B5EF4-FFF2-40B4-BE49-F238E27FC236}">
              <a16:creationId xmlns:a16="http://schemas.microsoft.com/office/drawing/2014/main" id="{7B92FD40-48FF-4E4F-956F-EB9C1F9B4E47}"/>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6" name="1 Imagen" descr="ESCUDO-transp-lema-blanco.png">
          <a:extLst>
            <a:ext uri="{FF2B5EF4-FFF2-40B4-BE49-F238E27FC236}">
              <a16:creationId xmlns:a16="http://schemas.microsoft.com/office/drawing/2014/main" id="{0B7EB9C9-1417-41DF-85EA-90342BEE1C4A}"/>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7" name="5 CuadroTexto">
          <a:extLst>
            <a:ext uri="{FF2B5EF4-FFF2-40B4-BE49-F238E27FC236}">
              <a16:creationId xmlns:a16="http://schemas.microsoft.com/office/drawing/2014/main" id="{9DF5A698-AC2F-4ECF-AD3B-D0502FD6D9FA}"/>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8" name="1 Imagen" descr="ESCUDO-transp-lema-blanco.png">
          <a:extLst>
            <a:ext uri="{FF2B5EF4-FFF2-40B4-BE49-F238E27FC236}">
              <a16:creationId xmlns:a16="http://schemas.microsoft.com/office/drawing/2014/main" id="{AC6972F4-BC5B-48E0-804E-A0E0D2117FF7}"/>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9" name="5 CuadroTexto">
          <a:extLst>
            <a:ext uri="{FF2B5EF4-FFF2-40B4-BE49-F238E27FC236}">
              <a16:creationId xmlns:a16="http://schemas.microsoft.com/office/drawing/2014/main" id="{1DDAA3F4-7BDC-462D-B24B-50981AA19F87}"/>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10" name="1 Imagen" descr="ESCUDO-transp-lema-blanco.png">
          <a:extLst>
            <a:ext uri="{FF2B5EF4-FFF2-40B4-BE49-F238E27FC236}">
              <a16:creationId xmlns:a16="http://schemas.microsoft.com/office/drawing/2014/main" id="{B9AAD4CF-475B-4454-B06F-C62F7437A71C}"/>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11" name="5 CuadroTexto">
          <a:extLst>
            <a:ext uri="{FF2B5EF4-FFF2-40B4-BE49-F238E27FC236}">
              <a16:creationId xmlns:a16="http://schemas.microsoft.com/office/drawing/2014/main" id="{4C5A6263-64FB-438D-86ED-9D0E7D4E43D1}"/>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A2343081-5546-4134-888F-693B2D344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7B139FA6-E275-4815-A8E6-E5457E3EC7F1}"/>
            </a:ext>
          </a:extLst>
        </xdr:cNvPr>
        <xdr:cNvSpPr txBox="1"/>
      </xdr:nvSpPr>
      <xdr:spPr bwMode="auto">
        <a:xfrm>
          <a:off x="1266825" y="171450"/>
          <a:ext cx="4619625"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B8DBD9D2-3886-41CE-8B50-60FE9441D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F60A2689-A6BE-40A0-8FEC-CD4C9EFBCA86}"/>
            </a:ext>
          </a:extLst>
        </xdr:cNvPr>
        <xdr:cNvSpPr txBox="1"/>
      </xdr:nvSpPr>
      <xdr:spPr bwMode="auto">
        <a:xfrm>
          <a:off x="1266825" y="200025"/>
          <a:ext cx="5695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Descargas/9_feb_Formatos%20SINA%20-%20PAI%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hivos/Documentos/MADS/FORMATOS/INFORMES%20DE%20GESTI&#211;N%202021/Formatos%20SINA_PAI%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chivos/Documentos/MADS/FORMATOS/INFORMES%20DE%20GESTI&#211;N%202021/Formatos%20SINA%20-%20PAI%202021_En%20constru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ubia/Copia%20de%20escritorio/3.%20Formatos%20SINA%20-%20PAI%202021_CRA-%20Aprobado%20Consejo%20Direc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2)"/>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3">
          <cell r="D33" t="str">
            <v>SI APLICA</v>
          </cell>
          <cell r="F33" t="str">
            <v>SI SE REPORTA</v>
          </cell>
        </row>
        <row r="34">
          <cell r="D34" t="str">
            <v>NO APLICA</v>
          </cell>
          <cell r="F34" t="str">
            <v>NO SE REPORTA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 val="Anexo 2 Protocolo Inf Gestión"/>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3">
          <cell r="D33" t="str">
            <v>SI APLICA</v>
          </cell>
          <cell r="F33" t="str">
            <v>SI SE REPORTA</v>
          </cell>
        </row>
        <row r="34">
          <cell r="D34" t="str">
            <v>NO APLICA</v>
          </cell>
          <cell r="F34" t="str">
            <v>NO SE REPORTA</v>
          </cell>
        </row>
      </sheetData>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Informe Ingresos"/>
      <sheetName val="PROTOCOLO INGRESOS"/>
      <sheetName val="INGRESOS-IDR"/>
      <sheetName val="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33">
          <cell r="D33" t="str">
            <v>SI APLICA</v>
          </cell>
          <cell r="F33" t="str">
            <v>SI SE REPORTA</v>
          </cell>
        </row>
        <row r="34">
          <cell r="D34" t="str">
            <v>NO APLICA</v>
          </cell>
          <cell r="F34" t="str">
            <v>NO SE REPORTA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t="str">
            <v>Corporación Autónoma Regional del Atlántico – CRA</v>
          </cell>
        </row>
        <row r="6">
          <cell r="C6" t="str">
            <v>2021-II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persons/person.xml><?xml version="1.0" encoding="utf-8"?>
<personList xmlns="http://schemas.microsoft.com/office/spreadsheetml/2018/threadedcomments" xmlns:x="http://schemas.openxmlformats.org/spreadsheetml/2006/main">
  <person displayName="Eliana Marcela Machado Hernandez" id="{9C249873-3251-4A27-9652-93F7414A97B6}" userId="Eliana Marcela Machado Hernande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6" dT="2022-02-15T14:59:28.08" personId="{9C249873-3251-4A27-9652-93F7414A97B6}" id="{B5E11FDD-249A-46D6-9EB8-032219DE3320}">
    <text>El diligenciamiento de la información correspondiente a la relación de evidencias que soportan la ejecución de cada una de las actividades, ubicada en las columnas K a la R del Anexo 1, es opcional para el reporte de la vigencia 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caf@crautonoma.gov.co"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58"/>
  <sheetViews>
    <sheetView topLeftCell="A10" workbookViewId="0">
      <selection activeCell="C13" sqref="C13"/>
    </sheetView>
  </sheetViews>
  <sheetFormatPr baseColWidth="10" defaultColWidth="10.7109375" defaultRowHeight="15" x14ac:dyDescent="0.25"/>
  <cols>
    <col min="1" max="1" width="5.85546875" customWidth="1"/>
    <col min="2" max="2" width="44.28515625" customWidth="1"/>
    <col min="3" max="3" width="68.42578125" customWidth="1"/>
    <col min="7" max="7" width="0" hidden="1" customWidth="1"/>
    <col min="8" max="8" width="15.42578125" hidden="1" customWidth="1"/>
    <col min="9" max="9" width="11.42578125" hidden="1" customWidth="1"/>
  </cols>
  <sheetData>
    <row r="1" spans="1:18" s="3" customFormat="1" ht="130.5" customHeight="1" thickBot="1" x14ac:dyDescent="0.3">
      <c r="A1" s="19"/>
      <c r="B1" s="20"/>
      <c r="C1" s="21"/>
      <c r="D1"/>
      <c r="E1"/>
      <c r="F1"/>
      <c r="G1"/>
      <c r="H1"/>
      <c r="I1"/>
      <c r="J1"/>
      <c r="K1"/>
      <c r="L1"/>
      <c r="M1"/>
      <c r="N1"/>
      <c r="O1"/>
      <c r="P1"/>
      <c r="Q1"/>
      <c r="R1"/>
    </row>
    <row r="2" spans="1:18" s="4" customFormat="1" ht="39.75" customHeight="1" thickBot="1" x14ac:dyDescent="0.3">
      <c r="A2" s="1814" t="s">
        <v>246</v>
      </c>
      <c r="B2" s="1815"/>
      <c r="C2" s="1816"/>
      <c r="D2"/>
      <c r="E2"/>
      <c r="F2"/>
      <c r="G2"/>
      <c r="H2"/>
      <c r="I2"/>
      <c r="J2"/>
      <c r="K2"/>
      <c r="L2"/>
      <c r="M2"/>
      <c r="N2"/>
      <c r="O2"/>
      <c r="P2"/>
      <c r="Q2"/>
      <c r="R2"/>
    </row>
    <row r="4" spans="1:18" ht="15.75" thickBot="1" x14ac:dyDescent="0.3"/>
    <row r="5" spans="1:18" s="13" customFormat="1" ht="23.25" customHeight="1" x14ac:dyDescent="0.25">
      <c r="B5" s="14" t="s">
        <v>57</v>
      </c>
      <c r="C5" s="15" t="s">
        <v>84</v>
      </c>
      <c r="H5" s="13" t="s">
        <v>58</v>
      </c>
    </row>
    <row r="6" spans="1:18" s="13" customFormat="1" ht="23.25" customHeight="1" x14ac:dyDescent="0.25">
      <c r="B6" s="16" t="s">
        <v>98</v>
      </c>
      <c r="C6" s="17" t="s">
        <v>306</v>
      </c>
      <c r="H6" s="13" t="s">
        <v>59</v>
      </c>
    </row>
    <row r="7" spans="1:18" s="13" customFormat="1" ht="23.25" customHeight="1" x14ac:dyDescent="0.25">
      <c r="B7" s="16" t="s">
        <v>99</v>
      </c>
      <c r="C7" s="17" t="s">
        <v>1091</v>
      </c>
      <c r="H7" s="13" t="s">
        <v>60</v>
      </c>
    </row>
    <row r="8" spans="1:18" s="13" customFormat="1" ht="23.25" customHeight="1" x14ac:dyDescent="0.25">
      <c r="B8" s="16" t="s">
        <v>0</v>
      </c>
      <c r="C8" s="17" t="s">
        <v>1092</v>
      </c>
      <c r="H8" s="13" t="s">
        <v>61</v>
      </c>
    </row>
    <row r="9" spans="1:18" s="13" customFormat="1" ht="23.25" customHeight="1" x14ac:dyDescent="0.25">
      <c r="B9" s="16" t="s">
        <v>1</v>
      </c>
      <c r="C9" s="17" t="s">
        <v>1093</v>
      </c>
      <c r="H9" s="13" t="s">
        <v>62</v>
      </c>
    </row>
    <row r="10" spans="1:18" s="13" customFormat="1" ht="23.25" customHeight="1" x14ac:dyDescent="0.25">
      <c r="B10" s="16" t="s">
        <v>2</v>
      </c>
      <c r="C10" s="543" t="s">
        <v>1094</v>
      </c>
      <c r="H10" s="13" t="s">
        <v>63</v>
      </c>
    </row>
    <row r="11" spans="1:18" s="13" customFormat="1" ht="23.25" customHeight="1" thickBot="1" x14ac:dyDescent="0.3">
      <c r="B11" s="18" t="s">
        <v>3</v>
      </c>
      <c r="C11" s="544" t="s">
        <v>1095</v>
      </c>
      <c r="H11" s="13" t="s">
        <v>64</v>
      </c>
    </row>
    <row r="12" spans="1:18" x14ac:dyDescent="0.25">
      <c r="H12" t="s">
        <v>65</v>
      </c>
    </row>
    <row r="13" spans="1:18" x14ac:dyDescent="0.25">
      <c r="H13" t="s">
        <v>66</v>
      </c>
    </row>
    <row r="14" spans="1:18" x14ac:dyDescent="0.25">
      <c r="H14" t="s">
        <v>67</v>
      </c>
    </row>
    <row r="15" spans="1:18" x14ac:dyDescent="0.25">
      <c r="H15" t="s">
        <v>68</v>
      </c>
    </row>
    <row r="16" spans="1:18" x14ac:dyDescent="0.25">
      <c r="H16" t="s">
        <v>69</v>
      </c>
    </row>
    <row r="17" spans="8:8" x14ac:dyDescent="0.25">
      <c r="H17" t="s">
        <v>70</v>
      </c>
    </row>
    <row r="18" spans="8:8" x14ac:dyDescent="0.25">
      <c r="H18" t="s">
        <v>71</v>
      </c>
    </row>
    <row r="19" spans="8:8" x14ac:dyDescent="0.25">
      <c r="H19" t="s">
        <v>72</v>
      </c>
    </row>
    <row r="20" spans="8:8" x14ac:dyDescent="0.25">
      <c r="H20" t="s">
        <v>73</v>
      </c>
    </row>
    <row r="21" spans="8:8" x14ac:dyDescent="0.25">
      <c r="H21" t="s">
        <v>74</v>
      </c>
    </row>
    <row r="22" spans="8:8" x14ac:dyDescent="0.25">
      <c r="H22" t="s">
        <v>75</v>
      </c>
    </row>
    <row r="23" spans="8:8" x14ac:dyDescent="0.25">
      <c r="H23" t="s">
        <v>76</v>
      </c>
    </row>
    <row r="24" spans="8:8" x14ac:dyDescent="0.25">
      <c r="H24" t="s">
        <v>77</v>
      </c>
    </row>
    <row r="25" spans="8:8" x14ac:dyDescent="0.25">
      <c r="H25" t="s">
        <v>78</v>
      </c>
    </row>
    <row r="26" spans="8:8" x14ac:dyDescent="0.25">
      <c r="H26" t="s">
        <v>79</v>
      </c>
    </row>
    <row r="27" spans="8:8" x14ac:dyDescent="0.25">
      <c r="H27" t="s">
        <v>80</v>
      </c>
    </row>
    <row r="28" spans="8:8" x14ac:dyDescent="0.25">
      <c r="H28" t="s">
        <v>315</v>
      </c>
    </row>
    <row r="29" spans="8:8" s="2" customFormat="1" x14ac:dyDescent="0.25">
      <c r="H29" s="2" t="s">
        <v>81</v>
      </c>
    </row>
    <row r="30" spans="8:8" x14ac:dyDescent="0.25">
      <c r="H30" t="s">
        <v>82</v>
      </c>
    </row>
    <row r="31" spans="8:8" x14ac:dyDescent="0.25">
      <c r="H31" t="s">
        <v>83</v>
      </c>
    </row>
    <row r="32" spans="8:8" x14ac:dyDescent="0.25">
      <c r="H32" t="s">
        <v>84</v>
      </c>
    </row>
    <row r="33" spans="8:8" x14ac:dyDescent="0.25">
      <c r="H33" t="s">
        <v>85</v>
      </c>
    </row>
    <row r="34" spans="8:8" x14ac:dyDescent="0.25">
      <c r="H34" t="s">
        <v>86</v>
      </c>
    </row>
    <row r="35" spans="8:8" x14ac:dyDescent="0.25">
      <c r="H35" t="s">
        <v>87</v>
      </c>
    </row>
    <row r="36" spans="8:8" x14ac:dyDescent="0.25">
      <c r="H36" t="s">
        <v>88</v>
      </c>
    </row>
    <row r="37" spans="8:8" x14ac:dyDescent="0.25">
      <c r="H37" t="s">
        <v>89</v>
      </c>
    </row>
    <row r="39" spans="8:8" x14ac:dyDescent="0.25">
      <c r="H39" t="s">
        <v>90</v>
      </c>
    </row>
    <row r="40" spans="8:8" x14ac:dyDescent="0.25">
      <c r="H40" t="s">
        <v>91</v>
      </c>
    </row>
    <row r="41" spans="8:8" x14ac:dyDescent="0.25">
      <c r="H41" t="s">
        <v>92</v>
      </c>
    </row>
    <row r="42" spans="8:8" x14ac:dyDescent="0.25">
      <c r="H42" t="s">
        <v>93</v>
      </c>
    </row>
    <row r="43" spans="8:8" x14ac:dyDescent="0.25">
      <c r="H43" t="s">
        <v>94</v>
      </c>
    </row>
    <row r="44" spans="8:8" x14ac:dyDescent="0.25">
      <c r="H44" t="s">
        <v>95</v>
      </c>
    </row>
    <row r="45" spans="8:8" x14ac:dyDescent="0.25">
      <c r="H45" t="s">
        <v>96</v>
      </c>
    </row>
    <row r="46" spans="8:8" x14ac:dyDescent="0.25">
      <c r="H46" t="s">
        <v>97</v>
      </c>
    </row>
    <row r="47" spans="8:8" x14ac:dyDescent="0.25">
      <c r="H47" s="2" t="s">
        <v>303</v>
      </c>
    </row>
    <row r="48" spans="8:8" x14ac:dyDescent="0.25">
      <c r="H48" s="2" t="s">
        <v>304</v>
      </c>
    </row>
    <row r="49" spans="8:8" x14ac:dyDescent="0.25">
      <c r="H49" s="2" t="s">
        <v>305</v>
      </c>
    </row>
    <row r="50" spans="8:8" x14ac:dyDescent="0.25">
      <c r="H50" s="2" t="s">
        <v>306</v>
      </c>
    </row>
    <row r="51" spans="8:8" x14ac:dyDescent="0.25">
      <c r="H51" s="2" t="s">
        <v>307</v>
      </c>
    </row>
    <row r="52" spans="8:8" x14ac:dyDescent="0.25">
      <c r="H52" s="2" t="s">
        <v>308</v>
      </c>
    </row>
    <row r="53" spans="8:8" x14ac:dyDescent="0.25">
      <c r="H53" s="2" t="s">
        <v>309</v>
      </c>
    </row>
    <row r="54" spans="8:8" x14ac:dyDescent="0.25">
      <c r="H54" s="2" t="s">
        <v>310</v>
      </c>
    </row>
    <row r="55" spans="8:8" x14ac:dyDescent="0.25">
      <c r="H55" s="2" t="s">
        <v>311</v>
      </c>
    </row>
    <row r="56" spans="8:8" x14ac:dyDescent="0.25">
      <c r="H56" s="2" t="s">
        <v>312</v>
      </c>
    </row>
    <row r="57" spans="8:8" x14ac:dyDescent="0.25">
      <c r="H57" s="2" t="s">
        <v>313</v>
      </c>
    </row>
    <row r="58" spans="8:8" x14ac:dyDescent="0.25">
      <c r="H58" s="2" t="s">
        <v>314</v>
      </c>
    </row>
  </sheetData>
  <mergeCells count="1">
    <mergeCell ref="A2:C2"/>
  </mergeCells>
  <dataValidations count="2">
    <dataValidation type="list" allowBlank="1" showInputMessage="1" showErrorMessage="1" prompt="Seleccione la CAR de la cual incorporara la información" sqref="C5" xr:uid="{DAEA1619-55B6-4B1C-A5F6-2CB213F79F12}">
      <formula1>Lista_CAR</formula1>
    </dataValidation>
    <dataValidation allowBlank="1" showInputMessage="1" showErrorMessage="1" prompt="Seleccione el perido a reportar" sqref="C6" xr:uid="{6982C705-FB30-4920-B519-EF30ED434B8B}"/>
  </dataValidations>
  <hyperlinks>
    <hyperlink ref="C10" r:id="rId1" display="gescaf@crautonoma.gov.co" xr:uid="{0203BF79-5F22-4C5F-8547-969844EA451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DF90-C01D-48B1-9686-89CFA6FE6B20}">
  <dimension ref="A1:B13"/>
  <sheetViews>
    <sheetView workbookViewId="0">
      <selection activeCell="O17" sqref="O17"/>
    </sheetView>
  </sheetViews>
  <sheetFormatPr baseColWidth="10" defaultColWidth="11.42578125" defaultRowHeight="15" x14ac:dyDescent="0.25"/>
  <cols>
    <col min="1" max="1" width="50.28515625" style="89" customWidth="1"/>
    <col min="2" max="2" width="68.42578125" style="89" customWidth="1"/>
    <col min="3" max="16384" width="11.42578125" style="89"/>
  </cols>
  <sheetData>
    <row r="1" spans="1:2" ht="90" customHeight="1" thickBot="1" x14ac:dyDescent="0.3">
      <c r="A1" s="1975"/>
      <c r="B1" s="1975"/>
    </row>
    <row r="2" spans="1:2" ht="15.75" thickBot="1" x14ac:dyDescent="0.3">
      <c r="A2" s="1988" t="s">
        <v>280</v>
      </c>
      <c r="B2" s="1977"/>
    </row>
    <row r="3" spans="1:2" ht="15.75" thickBot="1" x14ac:dyDescent="0.3">
      <c r="A3" s="1829" t="s">
        <v>38</v>
      </c>
      <c r="B3" s="1978"/>
    </row>
    <row r="4" spans="1:2" ht="15.75" thickBot="1" x14ac:dyDescent="0.3">
      <c r="A4" s="74" t="s">
        <v>251</v>
      </c>
      <c r="B4" s="74" t="s">
        <v>40</v>
      </c>
    </row>
    <row r="5" spans="1:2" ht="26.25" thickBot="1" x14ac:dyDescent="0.3">
      <c r="A5" s="75" t="s">
        <v>252</v>
      </c>
      <c r="B5" s="76" t="s">
        <v>253</v>
      </c>
    </row>
    <row r="6" spans="1:2" ht="16.5" thickTop="1" thickBot="1" x14ac:dyDescent="0.3">
      <c r="A6" s="77" t="s">
        <v>254</v>
      </c>
      <c r="B6" s="76" t="s">
        <v>281</v>
      </c>
    </row>
    <row r="7" spans="1:2" ht="78" thickTop="1" thickBot="1" x14ac:dyDescent="0.3">
      <c r="A7" s="84" t="s">
        <v>282</v>
      </c>
      <c r="B7" s="76" t="s">
        <v>283</v>
      </c>
    </row>
    <row r="8" spans="1:2" ht="90.75" thickTop="1" thickBot="1" x14ac:dyDescent="0.3">
      <c r="A8" s="84" t="s">
        <v>284</v>
      </c>
      <c r="B8" s="76" t="s">
        <v>285</v>
      </c>
    </row>
    <row r="9" spans="1:2" ht="90.75" thickTop="1" thickBot="1" x14ac:dyDescent="0.3">
      <c r="A9" s="84" t="s">
        <v>286</v>
      </c>
      <c r="B9" s="76" t="s">
        <v>287</v>
      </c>
    </row>
    <row r="10" spans="1:2" ht="90.75" thickTop="1" thickBot="1" x14ac:dyDescent="0.3">
      <c r="A10" s="84" t="s">
        <v>288</v>
      </c>
      <c r="B10" s="76" t="s">
        <v>289</v>
      </c>
    </row>
    <row r="11" spans="1:2" ht="27" thickTop="1" thickBot="1" x14ac:dyDescent="0.3">
      <c r="A11" s="84" t="s">
        <v>290</v>
      </c>
      <c r="B11" s="76" t="s">
        <v>291</v>
      </c>
    </row>
    <row r="12" spans="1:2" ht="27" thickTop="1" thickBot="1" x14ac:dyDescent="0.3">
      <c r="A12" s="84" t="s">
        <v>292</v>
      </c>
      <c r="B12" s="76" t="s">
        <v>279</v>
      </c>
    </row>
    <row r="13" spans="1:2" ht="15.75" thickTop="1" x14ac:dyDescent="0.25"/>
  </sheetData>
  <mergeCells count="3">
    <mergeCell ref="A1:B1"/>
    <mergeCell ref="A2:B2"/>
    <mergeCell ref="A3:B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8539C-4B1C-40CF-A064-266CD2F4FB17}">
  <dimension ref="A1:AR311"/>
  <sheetViews>
    <sheetView tabSelected="1" topLeftCell="A286" zoomScale="59" zoomScaleNormal="59" workbookViewId="0">
      <selection activeCell="J273" sqref="J273"/>
    </sheetView>
  </sheetViews>
  <sheetFormatPr baseColWidth="10" defaultColWidth="11.42578125" defaultRowHeight="12.75" x14ac:dyDescent="0.25"/>
  <cols>
    <col min="1" max="1" width="45" style="1171" customWidth="1"/>
    <col min="2" max="2" width="24.140625" style="1171" customWidth="1"/>
    <col min="3" max="4" width="9.7109375" style="1173" customWidth="1"/>
    <col min="5" max="6" width="11.85546875" style="1173" customWidth="1"/>
    <col min="7" max="7" width="13.7109375" style="1173" customWidth="1"/>
    <col min="8" max="9" width="13.42578125" style="1173" customWidth="1"/>
    <col min="10" max="10" width="43.28515625" style="1171" customWidth="1"/>
    <col min="11" max="11" width="26.140625" style="1171" hidden="1" customWidth="1"/>
    <col min="12" max="18" width="20.85546875" style="1171" hidden="1" customWidth="1"/>
    <col min="19" max="19" width="19.140625" style="1171" customWidth="1"/>
    <col min="20" max="20" width="12.140625" style="1173" customWidth="1"/>
    <col min="21" max="21" width="15.5703125" style="1173" customWidth="1"/>
    <col min="22" max="22" width="18" style="1173" customWidth="1"/>
    <col min="23" max="23" width="18" style="1171" customWidth="1"/>
    <col min="24" max="24" width="21" style="1171" customWidth="1"/>
    <col min="25" max="25" width="29" style="1171" customWidth="1"/>
    <col min="26" max="26" width="25.7109375" style="1171" customWidth="1"/>
    <col min="27" max="27" width="24.5703125" style="1171" customWidth="1"/>
    <col min="28" max="28" width="16.28515625" style="1508" customWidth="1"/>
    <col min="29" max="29" width="27.42578125" style="1171" customWidth="1"/>
    <col min="30" max="30" width="16.28515625" style="1171" customWidth="1"/>
    <col min="31" max="31" width="30.5703125" style="1171" customWidth="1"/>
    <col min="32" max="32" width="27.85546875" style="1171" customWidth="1"/>
    <col min="33" max="33" width="25.5703125" style="1171" customWidth="1"/>
    <col min="34" max="34" width="13" style="1171" customWidth="1"/>
    <col min="35" max="35" width="30.7109375" style="1171" customWidth="1"/>
    <col min="36" max="36" width="31.85546875" style="1171" customWidth="1"/>
    <col min="37" max="37" width="17.42578125" style="1171" customWidth="1"/>
    <col min="38" max="38" width="25" style="1171" customWidth="1"/>
    <col min="39" max="39" width="23" style="1171" customWidth="1"/>
    <col min="40" max="40" width="32.42578125" style="1171" customWidth="1"/>
    <col min="41" max="41" width="20.42578125" style="1171" customWidth="1"/>
    <col min="42" max="43" width="11.42578125" style="1171" hidden="1" customWidth="1"/>
    <col min="44" max="16384" width="11.42578125" style="1171"/>
  </cols>
  <sheetData>
    <row r="1" spans="1:43" ht="81.75" customHeight="1" thickBot="1" x14ac:dyDescent="0.3">
      <c r="A1" s="1817"/>
      <c r="B1" s="1818"/>
      <c r="C1" s="1818"/>
      <c r="D1" s="1818"/>
      <c r="E1" s="1818"/>
      <c r="F1" s="1818"/>
      <c r="G1" s="1818"/>
      <c r="H1" s="1818"/>
      <c r="I1" s="1818"/>
      <c r="J1" s="1818"/>
      <c r="K1" s="1818"/>
      <c r="L1" s="1818"/>
      <c r="M1" s="1818"/>
      <c r="N1" s="1818"/>
      <c r="O1" s="1818"/>
      <c r="P1" s="1818"/>
      <c r="Q1" s="1818"/>
      <c r="R1" s="1818"/>
      <c r="S1" s="1818"/>
      <c r="T1" s="1818"/>
      <c r="U1" s="1818"/>
      <c r="V1" s="1818"/>
      <c r="W1" s="1818"/>
      <c r="X1" s="1818"/>
      <c r="Y1" s="1818"/>
      <c r="Z1" s="1818"/>
      <c r="AA1" s="1818"/>
      <c r="AB1" s="1818"/>
      <c r="AC1" s="1818"/>
      <c r="AD1" s="1818"/>
      <c r="AE1" s="1818"/>
      <c r="AF1" s="1818"/>
      <c r="AG1" s="1818"/>
      <c r="AH1" s="1818"/>
      <c r="AI1" s="1818"/>
      <c r="AJ1" s="1818"/>
      <c r="AK1" s="1818"/>
      <c r="AL1" s="1818"/>
      <c r="AM1" s="1818"/>
      <c r="AN1" s="1818"/>
      <c r="AO1" s="1819"/>
    </row>
    <row r="2" spans="1:43" s="1172" customFormat="1" ht="27.75" customHeight="1" x14ac:dyDescent="0.25">
      <c r="A2" s="1820" t="str">
        <f>+'[4]Datos Generales'!C5</f>
        <v>Corporación Autónoma Regional del Atlántico – CRA</v>
      </c>
      <c r="B2" s="1821"/>
      <c r="C2" s="1821"/>
      <c r="D2" s="1821"/>
      <c r="E2" s="1821"/>
      <c r="F2" s="1821"/>
      <c r="G2" s="1821"/>
      <c r="H2" s="1821"/>
      <c r="I2" s="1821"/>
      <c r="J2" s="1821"/>
      <c r="K2" s="1821"/>
      <c r="L2" s="1821"/>
      <c r="M2" s="1821"/>
      <c r="N2" s="1821"/>
      <c r="O2" s="1821"/>
      <c r="P2" s="1821"/>
      <c r="Q2" s="1821"/>
      <c r="R2" s="1821"/>
      <c r="S2" s="1821"/>
      <c r="T2" s="1821"/>
      <c r="U2" s="1821"/>
      <c r="V2" s="1821"/>
      <c r="W2" s="1821"/>
      <c r="X2" s="1821"/>
      <c r="Y2" s="1821"/>
      <c r="Z2" s="1821"/>
      <c r="AA2" s="1821"/>
      <c r="AB2" s="1821"/>
      <c r="AC2" s="1821"/>
      <c r="AD2" s="1821"/>
      <c r="AE2" s="1821"/>
      <c r="AF2" s="1821"/>
      <c r="AG2" s="1821"/>
      <c r="AH2" s="1821"/>
      <c r="AI2" s="1821"/>
      <c r="AJ2" s="1821"/>
      <c r="AK2" s="1821"/>
      <c r="AL2" s="1821"/>
      <c r="AM2" s="1821"/>
      <c r="AN2" s="1821"/>
      <c r="AO2" s="1822"/>
    </row>
    <row r="3" spans="1:43" s="1172" customFormat="1" ht="33.75" customHeight="1" thickBot="1" x14ac:dyDescent="0.3">
      <c r="A3" s="1823" t="s">
        <v>100</v>
      </c>
      <c r="B3" s="1824"/>
      <c r="C3" s="1824"/>
      <c r="D3" s="1824"/>
      <c r="E3" s="1824"/>
      <c r="F3" s="1824"/>
      <c r="G3" s="1824"/>
      <c r="H3" s="1824"/>
      <c r="I3" s="1824"/>
      <c r="J3" s="1824"/>
      <c r="K3" s="1824"/>
      <c r="L3" s="1824"/>
      <c r="M3" s="1824"/>
      <c r="N3" s="1824"/>
      <c r="O3" s="1824"/>
      <c r="P3" s="1824"/>
      <c r="Q3" s="1824"/>
      <c r="R3" s="1824"/>
      <c r="S3" s="1824"/>
      <c r="T3" s="1824"/>
      <c r="U3" s="1824"/>
      <c r="V3" s="1824"/>
      <c r="W3" s="1824"/>
      <c r="X3" s="1824"/>
      <c r="Y3" s="1824"/>
      <c r="Z3" s="1824"/>
      <c r="AA3" s="1824"/>
      <c r="AB3" s="1824"/>
      <c r="AC3" s="1824"/>
      <c r="AD3" s="1824"/>
      <c r="AE3" s="1824"/>
      <c r="AF3" s="1824"/>
      <c r="AG3" s="1824"/>
      <c r="AH3" s="1824"/>
      <c r="AI3" s="1824"/>
      <c r="AJ3" s="1824"/>
      <c r="AK3" s="1824"/>
      <c r="AL3" s="1824"/>
      <c r="AM3" s="1824"/>
      <c r="AN3" s="1824"/>
      <c r="AO3" s="1825"/>
    </row>
    <row r="4" spans="1:43" s="1172" customFormat="1" ht="13.5" thickBot="1" x14ac:dyDescent="0.3">
      <c r="A4" s="134" t="s">
        <v>101</v>
      </c>
      <c r="B4" s="135" t="str">
        <f>'[4]Datos Generales'!C6</f>
        <v>2021-II</v>
      </c>
      <c r="C4" s="136"/>
      <c r="D4" s="136"/>
      <c r="E4" s="136"/>
      <c r="F4" s="136"/>
      <c r="G4" s="136"/>
      <c r="H4" s="136"/>
      <c r="I4" s="136"/>
      <c r="J4" s="135"/>
      <c r="K4" s="135"/>
      <c r="L4" s="135"/>
      <c r="M4" s="135"/>
      <c r="N4" s="135"/>
      <c r="O4" s="135"/>
      <c r="P4" s="135"/>
      <c r="Q4" s="135"/>
      <c r="R4" s="135"/>
      <c r="S4" s="135"/>
      <c r="T4" s="136"/>
      <c r="U4" s="136"/>
      <c r="V4" s="136"/>
      <c r="W4" s="135"/>
      <c r="X4" s="135"/>
      <c r="Y4" s="135"/>
      <c r="Z4" s="135"/>
      <c r="AA4" s="135"/>
      <c r="AB4" s="203"/>
      <c r="AC4" s="135"/>
      <c r="AD4" s="135"/>
      <c r="AE4" s="135"/>
      <c r="AF4" s="135"/>
      <c r="AG4" s="135"/>
      <c r="AH4" s="135"/>
      <c r="AI4" s="135"/>
      <c r="AJ4" s="135"/>
      <c r="AK4" s="135"/>
      <c r="AL4" s="135"/>
      <c r="AM4" s="135"/>
      <c r="AN4" s="135"/>
      <c r="AO4" s="137"/>
    </row>
    <row r="5" spans="1:43" ht="53.25" customHeight="1" thickBot="1" x14ac:dyDescent="0.3">
      <c r="A5" s="1826" t="s">
        <v>1523</v>
      </c>
      <c r="B5" s="1829" t="s">
        <v>32</v>
      </c>
      <c r="C5" s="1830"/>
      <c r="D5" s="1830"/>
      <c r="E5" s="1830"/>
      <c r="F5" s="1830"/>
      <c r="G5" s="1830"/>
      <c r="H5" s="1830"/>
      <c r="I5" s="1830"/>
      <c r="J5" s="1830"/>
      <c r="K5" s="1830"/>
      <c r="L5" s="1830"/>
      <c r="M5" s="1830"/>
      <c r="N5" s="1830"/>
      <c r="O5" s="1830"/>
      <c r="P5" s="1830"/>
      <c r="Q5" s="1830"/>
      <c r="R5" s="1830"/>
      <c r="S5" s="1830"/>
      <c r="T5" s="1830"/>
      <c r="U5" s="1831"/>
      <c r="V5" s="1831"/>
      <c r="W5" s="1831"/>
      <c r="X5" s="1831"/>
      <c r="Y5" s="1832"/>
      <c r="Z5" s="1832"/>
      <c r="AA5" s="1832"/>
      <c r="AB5" s="1832"/>
      <c r="AC5" s="1832"/>
      <c r="AD5" s="1832"/>
      <c r="AE5" s="1832"/>
      <c r="AF5" s="1832"/>
      <c r="AG5" s="1832"/>
      <c r="AH5" s="1832"/>
      <c r="AI5" s="1832"/>
      <c r="AJ5" s="1832"/>
      <c r="AK5" s="1832"/>
      <c r="AL5" s="1826" t="s">
        <v>364</v>
      </c>
      <c r="AM5" s="1835" t="s">
        <v>365</v>
      </c>
      <c r="AN5" s="1838" t="s">
        <v>366</v>
      </c>
      <c r="AO5" s="1841" t="s">
        <v>1479</v>
      </c>
      <c r="AP5" s="1855" t="s">
        <v>327</v>
      </c>
      <c r="AQ5" s="1855" t="s">
        <v>334</v>
      </c>
    </row>
    <row r="6" spans="1:43" s="1173" customFormat="1" ht="102" customHeight="1" thickBot="1" x14ac:dyDescent="0.3">
      <c r="A6" s="1827"/>
      <c r="B6" s="1844" t="s">
        <v>336</v>
      </c>
      <c r="C6" s="1858" t="s">
        <v>335</v>
      </c>
      <c r="D6" s="1859"/>
      <c r="E6" s="1860" t="s">
        <v>318</v>
      </c>
      <c r="F6" s="1859"/>
      <c r="G6" s="138" t="s">
        <v>317</v>
      </c>
      <c r="H6" s="1860" t="s">
        <v>33</v>
      </c>
      <c r="I6" s="1859"/>
      <c r="J6" s="1844" t="s">
        <v>34</v>
      </c>
      <c r="K6" s="1861" t="s">
        <v>343</v>
      </c>
      <c r="L6" s="1861" t="s">
        <v>344</v>
      </c>
      <c r="M6" s="1861" t="s">
        <v>345</v>
      </c>
      <c r="N6" s="1861" t="s">
        <v>346</v>
      </c>
      <c r="O6" s="1861" t="s">
        <v>347</v>
      </c>
      <c r="P6" s="1861" t="s">
        <v>348</v>
      </c>
      <c r="Q6" s="1861" t="s">
        <v>349</v>
      </c>
      <c r="R6" s="1861" t="s">
        <v>350</v>
      </c>
      <c r="S6" s="1844" t="s">
        <v>351</v>
      </c>
      <c r="T6" s="1846" t="s">
        <v>352</v>
      </c>
      <c r="U6" s="1846" t="s">
        <v>353</v>
      </c>
      <c r="V6" s="1849" t="s">
        <v>412</v>
      </c>
      <c r="W6" s="1851" t="s">
        <v>1524</v>
      </c>
      <c r="X6" s="1853" t="s">
        <v>421</v>
      </c>
      <c r="Y6" s="1865" t="s">
        <v>355</v>
      </c>
      <c r="Z6" s="1867" t="s">
        <v>356</v>
      </c>
      <c r="AA6" s="1868"/>
      <c r="AB6" s="1863" t="s">
        <v>419</v>
      </c>
      <c r="AC6" s="1863" t="s">
        <v>357</v>
      </c>
      <c r="AD6" s="1863" t="s">
        <v>1480</v>
      </c>
      <c r="AE6" s="1863" t="s">
        <v>358</v>
      </c>
      <c r="AF6" s="1863" t="s">
        <v>359</v>
      </c>
      <c r="AG6" s="1863" t="s">
        <v>360</v>
      </c>
      <c r="AH6" s="1863" t="s">
        <v>361</v>
      </c>
      <c r="AI6" s="1871" t="s">
        <v>362</v>
      </c>
      <c r="AJ6" s="1871" t="s">
        <v>403</v>
      </c>
      <c r="AK6" s="1871" t="s">
        <v>363</v>
      </c>
      <c r="AL6" s="1833"/>
      <c r="AM6" s="1836"/>
      <c r="AN6" s="1839"/>
      <c r="AO6" s="1842"/>
      <c r="AP6" s="1856"/>
      <c r="AQ6" s="1856"/>
    </row>
    <row r="7" spans="1:43" ht="17.25" customHeight="1" thickBot="1" x14ac:dyDescent="0.3">
      <c r="A7" s="1828"/>
      <c r="B7" s="1845"/>
      <c r="C7" s="1167">
        <v>2020</v>
      </c>
      <c r="D7" s="1168">
        <v>2021</v>
      </c>
      <c r="E7" s="1168">
        <v>2020</v>
      </c>
      <c r="F7" s="1168">
        <v>2021</v>
      </c>
      <c r="G7" s="1168">
        <v>2020</v>
      </c>
      <c r="H7" s="1168">
        <v>2020</v>
      </c>
      <c r="I7" s="1168">
        <v>2021</v>
      </c>
      <c r="J7" s="1845"/>
      <c r="K7" s="1862"/>
      <c r="L7" s="1862"/>
      <c r="M7" s="1862"/>
      <c r="N7" s="1862"/>
      <c r="O7" s="1862"/>
      <c r="P7" s="1862"/>
      <c r="Q7" s="1862"/>
      <c r="R7" s="1862"/>
      <c r="S7" s="1845"/>
      <c r="T7" s="1847"/>
      <c r="U7" s="1848"/>
      <c r="V7" s="1850"/>
      <c r="W7" s="1852"/>
      <c r="X7" s="1854"/>
      <c r="Y7" s="1866"/>
      <c r="Z7" s="1170">
        <v>2020</v>
      </c>
      <c r="AA7" s="1165">
        <v>2021</v>
      </c>
      <c r="AB7" s="1864"/>
      <c r="AC7" s="1864"/>
      <c r="AD7" s="1864"/>
      <c r="AE7" s="1864"/>
      <c r="AF7" s="1864"/>
      <c r="AG7" s="1864"/>
      <c r="AH7" s="1864"/>
      <c r="AI7" s="1872"/>
      <c r="AJ7" s="1872"/>
      <c r="AK7" s="1872"/>
      <c r="AL7" s="1834"/>
      <c r="AM7" s="1837"/>
      <c r="AN7" s="1840"/>
      <c r="AO7" s="1843"/>
      <c r="AP7" s="1857"/>
      <c r="AQ7" s="1857"/>
    </row>
    <row r="8" spans="1:43" ht="25.5" x14ac:dyDescent="0.25">
      <c r="A8" s="1174" t="s">
        <v>422</v>
      </c>
      <c r="B8" s="1175"/>
      <c r="C8" s="1176"/>
      <c r="D8" s="1177"/>
      <c r="E8" s="1178"/>
      <c r="F8" s="1179"/>
      <c r="G8" s="1179"/>
      <c r="H8" s="1180">
        <f>+(H9*W9)+(H32*W32)+(H49*W49)</f>
        <v>0.9179624999999999</v>
      </c>
      <c r="I8" s="1180">
        <f>+(I9*X9)+(I32*X32)+(I49*X49)</f>
        <v>0.80163333333333342</v>
      </c>
      <c r="J8" s="1181"/>
      <c r="K8" s="1181"/>
      <c r="L8" s="1182"/>
      <c r="M8" s="1183"/>
      <c r="N8" s="1183"/>
      <c r="O8" s="1181"/>
      <c r="P8" s="1181"/>
      <c r="Q8" s="1181"/>
      <c r="R8" s="1184"/>
      <c r="S8" s="1185"/>
      <c r="T8" s="1186"/>
      <c r="U8" s="1187"/>
      <c r="V8" s="1188">
        <f>+(V9*W9)+(V32*W32)+(V49*W49)</f>
        <v>0.46769053691074419</v>
      </c>
      <c r="W8" s="1189">
        <v>0.4</v>
      </c>
      <c r="X8" s="1190">
        <v>0.4</v>
      </c>
      <c r="Y8" s="1191">
        <f>+Y9+Y32+Y49</f>
        <v>98019981775</v>
      </c>
      <c r="Z8" s="1191">
        <f t="shared" ref="Z8:AJ8" si="0">+Z9+Z32+Z49</f>
        <v>46412999007.309998</v>
      </c>
      <c r="AA8" s="1192">
        <f t="shared" si="0"/>
        <v>68722723175.070007</v>
      </c>
      <c r="AB8" s="1193">
        <f>+AA8/Y8</f>
        <v>0.7011093241459645</v>
      </c>
      <c r="AC8" s="1192">
        <f t="shared" si="0"/>
        <v>57085007305.610001</v>
      </c>
      <c r="AD8" s="1194">
        <f>+AC8/Y8</f>
        <v>0.5823813295195851</v>
      </c>
      <c r="AE8" s="1195">
        <f t="shared" si="0"/>
        <v>11637715869.460001</v>
      </c>
      <c r="AF8" s="1195">
        <f t="shared" si="0"/>
        <v>14231945812.799999</v>
      </c>
      <c r="AG8" s="1195">
        <f t="shared" si="0"/>
        <v>12033647383.209999</v>
      </c>
      <c r="AH8" s="1194">
        <f>+AG8/AF8</f>
        <v>0.84553774596212394</v>
      </c>
      <c r="AI8" s="1195">
        <f t="shared" si="0"/>
        <v>238763908891.20001</v>
      </c>
      <c r="AJ8" s="1195">
        <f t="shared" si="0"/>
        <v>115135722182.38</v>
      </c>
      <c r="AK8" s="1189">
        <f>+AJ8/AI8</f>
        <v>0.48221577003434418</v>
      </c>
      <c r="AL8" s="1196"/>
      <c r="AM8" s="1197"/>
      <c r="AN8" s="1198"/>
      <c r="AO8" s="1195"/>
      <c r="AP8" s="1199"/>
      <c r="AQ8" s="1200"/>
    </row>
    <row r="9" spans="1:43" ht="38.25" x14ac:dyDescent="0.25">
      <c r="A9" s="1201" t="s">
        <v>426</v>
      </c>
      <c r="B9" s="1202"/>
      <c r="C9" s="1203"/>
      <c r="D9" s="1204"/>
      <c r="E9" s="1205"/>
      <c r="F9" s="1203"/>
      <c r="G9" s="1203"/>
      <c r="H9" s="1206">
        <f>+(H10*W10)+(H23*W23)+(H26*W26)</f>
        <v>0.91599999999999993</v>
      </c>
      <c r="I9" s="1206">
        <f>+(I10*X10)+(I23*X23)+(I26*X26)</f>
        <v>0.75800000000000001</v>
      </c>
      <c r="J9" s="1207"/>
      <c r="K9" s="1207"/>
      <c r="L9" s="1207"/>
      <c r="M9" s="1208"/>
      <c r="N9" s="1208"/>
      <c r="O9" s="1207"/>
      <c r="P9" s="1207"/>
      <c r="Q9" s="1207"/>
      <c r="R9" s="1207"/>
      <c r="S9" s="1209"/>
      <c r="T9" s="1210"/>
      <c r="U9" s="1211"/>
      <c r="V9" s="1212">
        <f>+(V10*W10)+(V23*W23)+(V26*W26)</f>
        <v>0.48702658730158727</v>
      </c>
      <c r="W9" s="1213">
        <v>0.65</v>
      </c>
      <c r="X9" s="1214">
        <v>0.65</v>
      </c>
      <c r="Y9" s="1215">
        <f>+Y10+Y23+Y26</f>
        <v>44123822062</v>
      </c>
      <c r="Z9" s="1215">
        <f t="shared" ref="Z9:AJ9" si="1">+Z10+Z23+Z26</f>
        <v>6179050696.4099998</v>
      </c>
      <c r="AA9" s="1215">
        <f t="shared" si="1"/>
        <v>16991407463.370001</v>
      </c>
      <c r="AB9" s="1216">
        <f t="shared" ref="AB9:AB72" si="2">+AA9/Y9</f>
        <v>0.38508467012433217</v>
      </c>
      <c r="AC9" s="1217">
        <f t="shared" si="1"/>
        <v>15592621123.110001</v>
      </c>
      <c r="AD9" s="1218">
        <f t="shared" ref="AD9:AD72" si="3">+AC9/Y9</f>
        <v>0.35338328355146198</v>
      </c>
      <c r="AE9" s="1215">
        <f t="shared" si="1"/>
        <v>1398786340.26</v>
      </c>
      <c r="AF9" s="1215">
        <f t="shared" si="1"/>
        <v>5331709774.8000002</v>
      </c>
      <c r="AG9" s="1215">
        <f t="shared" si="1"/>
        <v>4541923144.3299999</v>
      </c>
      <c r="AH9" s="1219">
        <f t="shared" ref="AH9:AH72" si="4">+AG9/AF9</f>
        <v>0.85186991343698448</v>
      </c>
      <c r="AI9" s="1215">
        <f t="shared" si="1"/>
        <v>61995000000</v>
      </c>
      <c r="AJ9" s="1215">
        <f t="shared" si="1"/>
        <v>23170458159.780006</v>
      </c>
      <c r="AK9" s="1213">
        <f t="shared" ref="AK9:AK72" si="5">+AJ9/AI9</f>
        <v>0.37374720799709665</v>
      </c>
      <c r="AL9" s="1220"/>
      <c r="AM9" s="1221" t="s">
        <v>295</v>
      </c>
      <c r="AN9" s="1222"/>
      <c r="AO9" s="1215"/>
      <c r="AP9" s="1223"/>
      <c r="AQ9" s="1224"/>
    </row>
    <row r="10" spans="1:43" ht="25.5" x14ac:dyDescent="0.25">
      <c r="A10" s="241" t="s">
        <v>453</v>
      </c>
      <c r="B10" s="140"/>
      <c r="C10" s="141"/>
      <c r="D10" s="187"/>
      <c r="E10" s="181"/>
      <c r="F10" s="141"/>
      <c r="G10" s="141"/>
      <c r="H10" s="142">
        <f>+(H11*30%)+(H12*12%)+(H13*12%)+(H16*12%)+(H18*17%)+(H20*5%)+(H22*12%)</f>
        <v>0.58000000000000007</v>
      </c>
      <c r="I10" s="142">
        <f>+SUMPRODUCT(I11:I21,X11:X21)</f>
        <v>0.14000000000000001</v>
      </c>
      <c r="J10" s="143"/>
      <c r="K10" s="143"/>
      <c r="L10" s="143"/>
      <c r="M10" s="144"/>
      <c r="N10" s="144"/>
      <c r="O10" s="143"/>
      <c r="P10" s="143"/>
      <c r="Q10" s="143"/>
      <c r="R10" s="143"/>
      <c r="S10" s="1225"/>
      <c r="T10" s="1226"/>
      <c r="U10" s="201"/>
      <c r="V10" s="165">
        <f>+SUMPRODUCT(V11:V22,W11:W22)</f>
        <v>0.1542857142857143</v>
      </c>
      <c r="W10" s="1227">
        <v>0.2</v>
      </c>
      <c r="X10" s="394">
        <v>0.2</v>
      </c>
      <c r="Y10" s="145">
        <f>SUM(Y11:Y22)</f>
        <v>1046898827</v>
      </c>
      <c r="Z10" s="145">
        <f t="shared" ref="Z10:AJ10" si="6">SUM(Z11:Z22)</f>
        <v>1022391740</v>
      </c>
      <c r="AA10" s="145">
        <f t="shared" si="6"/>
        <v>783124557.20000005</v>
      </c>
      <c r="AB10" s="207">
        <f t="shared" si="2"/>
        <v>0.74804225298840654</v>
      </c>
      <c r="AC10" s="145">
        <f t="shared" si="6"/>
        <v>574476365</v>
      </c>
      <c r="AD10" s="1225">
        <f t="shared" si="3"/>
        <v>0.54874105327467326</v>
      </c>
      <c r="AE10" s="145">
        <f t="shared" si="6"/>
        <v>208648192.19999999</v>
      </c>
      <c r="AF10" s="145">
        <f t="shared" si="6"/>
        <v>837279140</v>
      </c>
      <c r="AG10" s="145">
        <f t="shared" si="6"/>
        <v>817292444</v>
      </c>
      <c r="AH10" s="505">
        <f t="shared" si="4"/>
        <v>0.97612899325307445</v>
      </c>
      <c r="AI10" s="145">
        <f t="shared" si="6"/>
        <v>10500000000</v>
      </c>
      <c r="AJ10" s="145">
        <f t="shared" si="6"/>
        <v>1805516297.2</v>
      </c>
      <c r="AK10" s="1228">
        <f t="shared" si="5"/>
        <v>0.17195393306666668</v>
      </c>
      <c r="AL10" s="1229"/>
      <c r="AM10" s="159"/>
      <c r="AN10" s="482"/>
      <c r="AO10" s="145"/>
      <c r="AP10" s="483"/>
      <c r="AQ10" s="101"/>
    </row>
    <row r="11" spans="1:43" ht="63.75" x14ac:dyDescent="0.25">
      <c r="A11" s="1230" t="s">
        <v>513</v>
      </c>
      <c r="B11" s="1231" t="s">
        <v>705</v>
      </c>
      <c r="C11" s="1232">
        <v>1</v>
      </c>
      <c r="D11" s="1233">
        <v>0</v>
      </c>
      <c r="E11" s="1234">
        <v>0</v>
      </c>
      <c r="F11" s="1232"/>
      <c r="G11" s="1232"/>
      <c r="H11" s="167">
        <f t="shared" ref="H11:H31" si="7">IF((E11+G11)/C11&gt;=100%,100%,(E11+G11)/C11)</f>
        <v>0</v>
      </c>
      <c r="I11" s="148">
        <v>0</v>
      </c>
      <c r="J11" s="1235"/>
      <c r="K11" s="1235"/>
      <c r="L11" s="1236"/>
      <c r="M11" s="1237"/>
      <c r="N11" s="1238"/>
      <c r="O11" s="1235"/>
      <c r="P11" s="1235"/>
      <c r="Q11" s="1235"/>
      <c r="R11" s="1239"/>
      <c r="S11" s="1240"/>
      <c r="T11" s="1232">
        <v>1</v>
      </c>
      <c r="U11" s="1241">
        <f>SUM(E11:F11)</f>
        <v>0</v>
      </c>
      <c r="V11" s="152">
        <f>IF(U11/T11&gt;=100%,100%,U11/T11)</f>
        <v>0</v>
      </c>
      <c r="W11" s="167">
        <v>0.15</v>
      </c>
      <c r="X11" s="395">
        <v>0</v>
      </c>
      <c r="Y11" s="450">
        <v>0</v>
      </c>
      <c r="Z11" s="274">
        <v>100000000</v>
      </c>
      <c r="AA11" s="1242"/>
      <c r="AB11" s="208" t="e">
        <f t="shared" si="2"/>
        <v>#DIV/0!</v>
      </c>
      <c r="AC11" s="1243"/>
      <c r="AD11" s="1240" t="e">
        <f t="shared" si="3"/>
        <v>#DIV/0!</v>
      </c>
      <c r="AE11" s="1244"/>
      <c r="AF11" s="1242">
        <v>7387400</v>
      </c>
      <c r="AG11" s="1242">
        <v>7357400</v>
      </c>
      <c r="AH11" s="506">
        <f t="shared" si="4"/>
        <v>0.99593903132360506</v>
      </c>
      <c r="AI11" s="1245">
        <v>3000000000</v>
      </c>
      <c r="AJ11" s="1245">
        <f>+SUM(Z11:AA11)</f>
        <v>100000000</v>
      </c>
      <c r="AK11" s="1246">
        <f t="shared" si="5"/>
        <v>3.3333333333333333E-2</v>
      </c>
      <c r="AL11" s="1247"/>
      <c r="AM11" s="1248"/>
      <c r="AN11" s="1249" t="s">
        <v>31</v>
      </c>
      <c r="AO11" s="1873" t="s">
        <v>893</v>
      </c>
      <c r="AP11" s="1250"/>
      <c r="AQ11" s="1251"/>
    </row>
    <row r="12" spans="1:43" ht="89.25" x14ac:dyDescent="0.25">
      <c r="A12" s="242" t="s">
        <v>514</v>
      </c>
      <c r="B12" s="1231" t="s">
        <v>711</v>
      </c>
      <c r="C12" s="1232">
        <v>1</v>
      </c>
      <c r="D12" s="1233">
        <v>1</v>
      </c>
      <c r="E12" s="1234">
        <v>0</v>
      </c>
      <c r="F12" s="1232">
        <v>0</v>
      </c>
      <c r="G12" s="1232"/>
      <c r="H12" s="167">
        <f t="shared" si="7"/>
        <v>0</v>
      </c>
      <c r="I12" s="148">
        <f>IF(F12/D12&gt;=100%,100%,F12/D12)</f>
        <v>0</v>
      </c>
      <c r="J12" s="1235" t="s">
        <v>930</v>
      </c>
      <c r="K12" s="1235"/>
      <c r="L12" s="1236"/>
      <c r="M12" s="1237"/>
      <c r="N12" s="1238"/>
      <c r="O12" s="1235"/>
      <c r="P12" s="1235"/>
      <c r="Q12" s="1235"/>
      <c r="R12" s="1239"/>
      <c r="S12" s="153"/>
      <c r="T12" s="1232">
        <v>2</v>
      </c>
      <c r="U12" s="1241">
        <f t="shared" ref="U12:U14" si="8">SUM(E12:F12)</f>
        <v>0</v>
      </c>
      <c r="V12" s="152">
        <f t="shared" ref="V12:V14" si="9">IF(U12/T12&gt;=100%,100%,U12/T12)</f>
        <v>0</v>
      </c>
      <c r="W12" s="167">
        <v>0.08</v>
      </c>
      <c r="X12" s="395">
        <v>0.15</v>
      </c>
      <c r="Y12" s="451">
        <v>277196620</v>
      </c>
      <c r="Z12" s="274">
        <v>60000000</v>
      </c>
      <c r="AA12" s="1248">
        <v>277196619.19999999</v>
      </c>
      <c r="AB12" s="208">
        <f t="shared" si="2"/>
        <v>0.99999999711396192</v>
      </c>
      <c r="AC12" s="1243">
        <v>265944498</v>
      </c>
      <c r="AD12" s="1240">
        <f t="shared" si="3"/>
        <v>0.95940743433307374</v>
      </c>
      <c r="AE12" s="1247">
        <f>+AA12-AC12</f>
        <v>11252121.199999988</v>
      </c>
      <c r="AF12" s="1248">
        <v>30000000</v>
      </c>
      <c r="AG12" s="1248">
        <v>30000000</v>
      </c>
      <c r="AH12" s="506">
        <f t="shared" si="4"/>
        <v>1</v>
      </c>
      <c r="AI12" s="1245">
        <v>800000000</v>
      </c>
      <c r="AJ12" s="1245">
        <f t="shared" ref="AJ12:AJ21" si="10">+SUM(Z12:AA12)</f>
        <v>337196619.19999999</v>
      </c>
      <c r="AK12" s="1246">
        <f t="shared" si="5"/>
        <v>0.42149577399999999</v>
      </c>
      <c r="AL12" s="1247"/>
      <c r="AM12" s="1248"/>
      <c r="AN12" s="1249" t="s">
        <v>31</v>
      </c>
      <c r="AO12" s="1870"/>
      <c r="AP12" s="1250"/>
      <c r="AQ12" s="1251"/>
    </row>
    <row r="13" spans="1:43" ht="178.5" x14ac:dyDescent="0.25">
      <c r="A13" s="242" t="s">
        <v>515</v>
      </c>
      <c r="B13" s="1231" t="s">
        <v>712</v>
      </c>
      <c r="C13" s="169">
        <v>0.1</v>
      </c>
      <c r="D13" s="167">
        <v>0.1</v>
      </c>
      <c r="E13" s="224">
        <v>0.1</v>
      </c>
      <c r="F13" s="169">
        <v>0.1</v>
      </c>
      <c r="G13" s="1232"/>
      <c r="H13" s="167">
        <f t="shared" si="7"/>
        <v>1</v>
      </c>
      <c r="I13" s="148">
        <f t="shared" ref="I13:I22" si="11">IF(F13/D13&gt;=100%,100%,F13/D13)</f>
        <v>1</v>
      </c>
      <c r="J13" s="1235" t="s">
        <v>931</v>
      </c>
      <c r="K13" s="1235"/>
      <c r="L13" s="1236"/>
      <c r="M13" s="1237"/>
      <c r="N13" s="1238"/>
      <c r="O13" s="1235"/>
      <c r="P13" s="1235"/>
      <c r="Q13" s="1235"/>
      <c r="R13" s="1239"/>
      <c r="S13" s="153"/>
      <c r="T13" s="169">
        <v>0.4</v>
      </c>
      <c r="U13" s="1241">
        <f t="shared" si="8"/>
        <v>0.2</v>
      </c>
      <c r="V13" s="152">
        <f t="shared" si="9"/>
        <v>0.5</v>
      </c>
      <c r="W13" s="167">
        <v>0.08</v>
      </c>
      <c r="X13" s="395">
        <v>0.14000000000000001</v>
      </c>
      <c r="Y13" s="450">
        <v>100000000</v>
      </c>
      <c r="Z13" s="274">
        <v>199891740</v>
      </c>
      <c r="AA13" s="1248">
        <v>77543235</v>
      </c>
      <c r="AB13" s="208">
        <f t="shared" si="2"/>
        <v>0.77543234999999999</v>
      </c>
      <c r="AC13" s="1243">
        <v>62702998</v>
      </c>
      <c r="AD13" s="1240">
        <f t="shared" si="3"/>
        <v>0.62702997999999999</v>
      </c>
      <c r="AE13" s="1247">
        <f>+AA13-AC13</f>
        <v>14840237</v>
      </c>
      <c r="AF13" s="1248">
        <v>199891740</v>
      </c>
      <c r="AG13" s="1248">
        <v>189967522</v>
      </c>
      <c r="AH13" s="506">
        <f t="shared" si="4"/>
        <v>0.95035203555684689</v>
      </c>
      <c r="AI13" s="1245">
        <v>800000000</v>
      </c>
      <c r="AJ13" s="1245">
        <f t="shared" si="10"/>
        <v>277434975</v>
      </c>
      <c r="AK13" s="1246">
        <f t="shared" si="5"/>
        <v>0.34679371874999998</v>
      </c>
      <c r="AL13" s="1247"/>
      <c r="AM13" s="1248"/>
      <c r="AN13" s="1249" t="s">
        <v>8</v>
      </c>
      <c r="AO13" s="1873" t="s">
        <v>893</v>
      </c>
      <c r="AP13" s="1250"/>
      <c r="AQ13" s="1251"/>
    </row>
    <row r="14" spans="1:43" ht="76.5" x14ac:dyDescent="0.25">
      <c r="A14" s="242" t="s">
        <v>516</v>
      </c>
      <c r="B14" s="1231" t="s">
        <v>713</v>
      </c>
      <c r="C14" s="169">
        <v>0</v>
      </c>
      <c r="D14" s="167">
        <v>0.1</v>
      </c>
      <c r="E14" s="224">
        <v>0</v>
      </c>
      <c r="F14" s="1232">
        <v>0</v>
      </c>
      <c r="G14" s="1232"/>
      <c r="H14" s="167" t="e">
        <f t="shared" si="7"/>
        <v>#DIV/0!</v>
      </c>
      <c r="I14" s="148">
        <f t="shared" si="11"/>
        <v>0</v>
      </c>
      <c r="J14" s="1235" t="s">
        <v>932</v>
      </c>
      <c r="K14" s="1235"/>
      <c r="L14" s="1236"/>
      <c r="M14" s="1237"/>
      <c r="N14" s="1238"/>
      <c r="O14" s="1235"/>
      <c r="P14" s="1235"/>
      <c r="Q14" s="1235"/>
      <c r="R14" s="1239"/>
      <c r="S14" s="153"/>
      <c r="T14" s="169">
        <v>0.30000000000000004</v>
      </c>
      <c r="U14" s="1241">
        <f t="shared" si="8"/>
        <v>0</v>
      </c>
      <c r="V14" s="152">
        <f t="shared" si="9"/>
        <v>0</v>
      </c>
      <c r="W14" s="167">
        <v>0.05</v>
      </c>
      <c r="X14" s="395">
        <v>0.14000000000000001</v>
      </c>
      <c r="Y14" s="452">
        <v>100000000</v>
      </c>
      <c r="Z14" s="275" t="s">
        <v>892</v>
      </c>
      <c r="AA14" s="1248">
        <v>79052654</v>
      </c>
      <c r="AB14" s="208">
        <f t="shared" si="2"/>
        <v>0.79052654</v>
      </c>
      <c r="AC14" s="1243">
        <v>35880412</v>
      </c>
      <c r="AD14" s="1240">
        <f t="shared" si="3"/>
        <v>0.35880412</v>
      </c>
      <c r="AE14" s="1247">
        <f>+AA14-AC14</f>
        <v>43172242</v>
      </c>
      <c r="AF14" s="1248"/>
      <c r="AG14" s="1248"/>
      <c r="AH14" s="506" t="e">
        <f t="shared" si="4"/>
        <v>#DIV/0!</v>
      </c>
      <c r="AI14" s="1245">
        <v>400000000</v>
      </c>
      <c r="AJ14" s="1245">
        <f t="shared" si="10"/>
        <v>79052654</v>
      </c>
      <c r="AK14" s="1246">
        <f t="shared" si="5"/>
        <v>0.197631635</v>
      </c>
      <c r="AL14" s="1247"/>
      <c r="AM14" s="1248"/>
      <c r="AN14" s="1249" t="s">
        <v>8</v>
      </c>
      <c r="AO14" s="1874"/>
      <c r="AP14" s="1250"/>
      <c r="AQ14" s="1251"/>
    </row>
    <row r="15" spans="1:43" ht="89.25" x14ac:dyDescent="0.25">
      <c r="A15" s="242" t="s">
        <v>517</v>
      </c>
      <c r="B15" s="1231" t="s">
        <v>714</v>
      </c>
      <c r="C15" s="364">
        <v>0</v>
      </c>
      <c r="D15" s="167">
        <v>0.1</v>
      </c>
      <c r="E15" s="224">
        <v>0</v>
      </c>
      <c r="F15" s="169">
        <v>0</v>
      </c>
      <c r="G15" s="1232"/>
      <c r="H15" s="167" t="e">
        <f t="shared" si="7"/>
        <v>#DIV/0!</v>
      </c>
      <c r="I15" s="148">
        <f t="shared" si="11"/>
        <v>0</v>
      </c>
      <c r="J15" s="1235" t="s">
        <v>933</v>
      </c>
      <c r="K15" s="1235"/>
      <c r="L15" s="1236"/>
      <c r="M15" s="1237"/>
      <c r="N15" s="1238"/>
      <c r="O15" s="1235"/>
      <c r="P15" s="1235"/>
      <c r="Q15" s="1235"/>
      <c r="R15" s="1239"/>
      <c r="S15" s="153"/>
      <c r="T15" s="169">
        <v>0.30000000000000004</v>
      </c>
      <c r="U15" s="1241">
        <f>SUM(E15:F15)</f>
        <v>0</v>
      </c>
      <c r="V15" s="152">
        <f>IF(U15/T15&gt;=100%,100%,U15/T15)</f>
        <v>0</v>
      </c>
      <c r="W15" s="167">
        <v>0.05</v>
      </c>
      <c r="X15" s="395">
        <v>0.14000000000000001</v>
      </c>
      <c r="Y15" s="452">
        <v>100000000</v>
      </c>
      <c r="Z15" s="275" t="s">
        <v>892</v>
      </c>
      <c r="AA15" s="1248">
        <v>84506072</v>
      </c>
      <c r="AB15" s="208">
        <f t="shared" si="2"/>
        <v>0.84506071999999999</v>
      </c>
      <c r="AC15" s="1243">
        <v>51587902</v>
      </c>
      <c r="AD15" s="1240">
        <f t="shared" si="3"/>
        <v>0.51587901999999997</v>
      </c>
      <c r="AE15" s="1247">
        <f>+AA15-AC15</f>
        <v>32918170</v>
      </c>
      <c r="AF15" s="1248"/>
      <c r="AG15" s="1248"/>
      <c r="AH15" s="506" t="e">
        <f t="shared" si="4"/>
        <v>#DIV/0!</v>
      </c>
      <c r="AI15" s="1245">
        <v>400000000</v>
      </c>
      <c r="AJ15" s="1245">
        <f t="shared" si="10"/>
        <v>84506072</v>
      </c>
      <c r="AK15" s="1246">
        <f t="shared" si="5"/>
        <v>0.21126518</v>
      </c>
      <c r="AL15" s="1247"/>
      <c r="AM15" s="1248"/>
      <c r="AN15" s="1249" t="s">
        <v>8</v>
      </c>
      <c r="AO15" s="1870"/>
      <c r="AP15" s="1250"/>
      <c r="AQ15" s="1251"/>
    </row>
    <row r="16" spans="1:43" ht="63.75" x14ac:dyDescent="0.25">
      <c r="A16" s="242" t="s">
        <v>518</v>
      </c>
      <c r="B16" s="325" t="s">
        <v>706</v>
      </c>
      <c r="C16" s="1232">
        <v>1</v>
      </c>
      <c r="D16" s="1233">
        <v>0</v>
      </c>
      <c r="E16" s="1234">
        <v>0</v>
      </c>
      <c r="F16" s="1232"/>
      <c r="G16" s="1232">
        <v>1</v>
      </c>
      <c r="H16" s="167">
        <f t="shared" si="7"/>
        <v>1</v>
      </c>
      <c r="I16" s="148">
        <v>0</v>
      </c>
      <c r="J16" s="1235"/>
      <c r="K16" s="1235"/>
      <c r="L16" s="1236"/>
      <c r="M16" s="1237"/>
      <c r="N16" s="1238"/>
      <c r="O16" s="1235"/>
      <c r="P16" s="1235"/>
      <c r="Q16" s="1235"/>
      <c r="R16" s="1239"/>
      <c r="S16" s="153"/>
      <c r="T16" s="1232">
        <v>1</v>
      </c>
      <c r="U16" s="1241">
        <f t="shared" ref="U16" si="12">SUM(E16:F16)</f>
        <v>0</v>
      </c>
      <c r="V16" s="152">
        <f t="shared" ref="V16" si="13">IF(U16/T16&gt;=100%,100%,U16/T16)</f>
        <v>0</v>
      </c>
      <c r="W16" s="167">
        <v>0.08</v>
      </c>
      <c r="X16" s="395">
        <v>0</v>
      </c>
      <c r="Y16" s="452"/>
      <c r="Z16" s="274">
        <v>600000000</v>
      </c>
      <c r="AA16" s="1248"/>
      <c r="AB16" s="208" t="e">
        <f t="shared" si="2"/>
        <v>#DIV/0!</v>
      </c>
      <c r="AC16" s="1243"/>
      <c r="AD16" s="1240" t="e">
        <f t="shared" si="3"/>
        <v>#DIV/0!</v>
      </c>
      <c r="AE16" s="1247"/>
      <c r="AF16" s="1248">
        <v>600000000</v>
      </c>
      <c r="AG16" s="1248">
        <v>589967522</v>
      </c>
      <c r="AH16" s="506">
        <f t="shared" si="4"/>
        <v>0.9832792033333333</v>
      </c>
      <c r="AI16" s="1245">
        <v>1400000000</v>
      </c>
      <c r="AJ16" s="1245">
        <f t="shared" si="10"/>
        <v>600000000</v>
      </c>
      <c r="AK16" s="1246">
        <f t="shared" si="5"/>
        <v>0.42857142857142855</v>
      </c>
      <c r="AL16" s="1247"/>
      <c r="AM16" s="1248"/>
      <c r="AN16" s="1249" t="s">
        <v>302</v>
      </c>
      <c r="AO16" s="1873" t="s">
        <v>893</v>
      </c>
      <c r="AP16" s="1250"/>
      <c r="AQ16" s="1251"/>
    </row>
    <row r="17" spans="1:43" ht="63.75" x14ac:dyDescent="0.25">
      <c r="A17" s="242" t="s">
        <v>519</v>
      </c>
      <c r="B17" s="1231" t="s">
        <v>715</v>
      </c>
      <c r="C17" s="1232">
        <v>0</v>
      </c>
      <c r="D17" s="1233">
        <v>0</v>
      </c>
      <c r="E17" s="1234">
        <v>0</v>
      </c>
      <c r="F17" s="1232"/>
      <c r="G17" s="1232"/>
      <c r="H17" s="167" t="e">
        <f t="shared" si="7"/>
        <v>#DIV/0!</v>
      </c>
      <c r="I17" s="148">
        <v>0</v>
      </c>
      <c r="J17" s="1235"/>
      <c r="K17" s="1235"/>
      <c r="L17" s="1236"/>
      <c r="M17" s="1237"/>
      <c r="N17" s="1238"/>
      <c r="O17" s="1235"/>
      <c r="P17" s="1235"/>
      <c r="Q17" s="1235"/>
      <c r="R17" s="1239"/>
      <c r="S17" s="156"/>
      <c r="T17" s="1232">
        <v>1</v>
      </c>
      <c r="U17" s="1241">
        <f>SUM(E17:F17)</f>
        <v>0</v>
      </c>
      <c r="V17" s="152">
        <f>IF(U17/T17&gt;=100%,100%,U17/T17)</f>
        <v>0</v>
      </c>
      <c r="W17" s="167">
        <v>0.08</v>
      </c>
      <c r="X17" s="395">
        <v>0</v>
      </c>
      <c r="Y17" s="452" t="s">
        <v>892</v>
      </c>
      <c r="Z17" s="275" t="s">
        <v>892</v>
      </c>
      <c r="AA17" s="1248"/>
      <c r="AB17" s="291" t="e">
        <f>+AA17/Y17</f>
        <v>#DIV/0!</v>
      </c>
      <c r="AC17" s="1243"/>
      <c r="AD17" s="1240" t="e">
        <f t="shared" si="3"/>
        <v>#DIV/0!</v>
      </c>
      <c r="AE17" s="1247"/>
      <c r="AF17" s="1248"/>
      <c r="AG17" s="1248"/>
      <c r="AH17" s="506" t="e">
        <f t="shared" si="4"/>
        <v>#DIV/0!</v>
      </c>
      <c r="AI17" s="1245">
        <v>800000000</v>
      </c>
      <c r="AJ17" s="1245">
        <f t="shared" si="10"/>
        <v>0</v>
      </c>
      <c r="AK17" s="1246">
        <f t="shared" si="5"/>
        <v>0</v>
      </c>
      <c r="AL17" s="1247"/>
      <c r="AM17" s="1248"/>
      <c r="AN17" s="1249" t="s">
        <v>31</v>
      </c>
      <c r="AO17" s="1874"/>
      <c r="AP17" s="1250"/>
      <c r="AQ17" s="1251"/>
    </row>
    <row r="18" spans="1:43" ht="89.25" x14ac:dyDescent="0.25">
      <c r="A18" s="242" t="s">
        <v>520</v>
      </c>
      <c r="B18" s="1231" t="s">
        <v>716</v>
      </c>
      <c r="C18" s="1232">
        <v>3</v>
      </c>
      <c r="D18" s="1233">
        <v>1</v>
      </c>
      <c r="E18" s="1234">
        <v>3</v>
      </c>
      <c r="F18" s="1232">
        <v>0</v>
      </c>
      <c r="G18" s="1232"/>
      <c r="H18" s="167">
        <f t="shared" si="7"/>
        <v>1</v>
      </c>
      <c r="I18" s="148">
        <f>IF(F18/D18&gt;=100%,100%,F18/D18)</f>
        <v>0</v>
      </c>
      <c r="J18" s="1235" t="s">
        <v>935</v>
      </c>
      <c r="K18" s="1235"/>
      <c r="L18" s="1236"/>
      <c r="M18" s="1237"/>
      <c r="N18" s="1238"/>
      <c r="O18" s="1235"/>
      <c r="P18" s="1235"/>
      <c r="Q18" s="1235"/>
      <c r="R18" s="1239"/>
      <c r="S18" s="156"/>
      <c r="T18" s="1232">
        <v>5</v>
      </c>
      <c r="U18" s="1241">
        <f t="shared" ref="U18:U19" si="14">SUM(E18:F18)</f>
        <v>3</v>
      </c>
      <c r="V18" s="152">
        <f t="shared" ref="V18:V19" si="15">IF(U18/T18&gt;=100%,100%,U18/T18)</f>
        <v>0.6</v>
      </c>
      <c r="W18" s="167">
        <v>0.1</v>
      </c>
      <c r="X18" s="395">
        <v>0.17</v>
      </c>
      <c r="Y18" s="452">
        <v>49702207</v>
      </c>
      <c r="Z18" s="274">
        <v>0</v>
      </c>
      <c r="AA18" s="1248">
        <v>38011318</v>
      </c>
      <c r="AB18" s="208">
        <f t="shared" si="2"/>
        <v>0.76478129029562003</v>
      </c>
      <c r="AC18" s="1243">
        <v>37199404</v>
      </c>
      <c r="AD18" s="1240">
        <f t="shared" si="3"/>
        <v>0.74844571791349224</v>
      </c>
      <c r="AE18" s="1247">
        <f>+AA18-AC18</f>
        <v>811914</v>
      </c>
      <c r="AF18" s="1248"/>
      <c r="AG18" s="1248"/>
      <c r="AH18" s="506" t="e">
        <f t="shared" si="4"/>
        <v>#DIV/0!</v>
      </c>
      <c r="AI18" s="1245">
        <v>700000000</v>
      </c>
      <c r="AJ18" s="1245">
        <f t="shared" si="10"/>
        <v>38011318</v>
      </c>
      <c r="AK18" s="1246">
        <f t="shared" si="5"/>
        <v>5.4301882857142859E-2</v>
      </c>
      <c r="AL18" s="1247"/>
      <c r="AM18" s="1248"/>
      <c r="AN18" s="1249" t="s">
        <v>4</v>
      </c>
      <c r="AO18" s="1870"/>
      <c r="AP18" s="1250"/>
      <c r="AQ18" s="1251"/>
    </row>
    <row r="19" spans="1:43" ht="76.5" x14ac:dyDescent="0.25">
      <c r="A19" s="242" t="s">
        <v>521</v>
      </c>
      <c r="B19" s="325" t="s">
        <v>707</v>
      </c>
      <c r="C19" s="1232">
        <v>0</v>
      </c>
      <c r="D19" s="1233">
        <v>0</v>
      </c>
      <c r="E19" s="1234">
        <v>0</v>
      </c>
      <c r="F19" s="1232"/>
      <c r="G19" s="1232"/>
      <c r="H19" s="167" t="e">
        <f t="shared" si="7"/>
        <v>#DIV/0!</v>
      </c>
      <c r="I19" s="148">
        <v>0</v>
      </c>
      <c r="J19" s="1235"/>
      <c r="K19" s="1235"/>
      <c r="L19" s="1236"/>
      <c r="M19" s="1237"/>
      <c r="N19" s="1238"/>
      <c r="O19" s="1235"/>
      <c r="P19" s="1235"/>
      <c r="Q19" s="1235"/>
      <c r="R19" s="1239"/>
      <c r="S19" s="156"/>
      <c r="T19" s="1232">
        <v>1</v>
      </c>
      <c r="U19" s="1241">
        <f t="shared" si="14"/>
        <v>0</v>
      </c>
      <c r="V19" s="152">
        <f t="shared" si="15"/>
        <v>0</v>
      </c>
      <c r="W19" s="167">
        <v>0.08</v>
      </c>
      <c r="X19" s="395">
        <v>0</v>
      </c>
      <c r="Y19" s="1252">
        <v>200000000</v>
      </c>
      <c r="Z19" s="1253">
        <v>0</v>
      </c>
      <c r="AA19" s="1248">
        <v>42093925</v>
      </c>
      <c r="AB19" s="208">
        <f t="shared" si="2"/>
        <v>0.21046962499999999</v>
      </c>
      <c r="AC19" s="1243">
        <v>41733074</v>
      </c>
      <c r="AD19" s="1240">
        <f t="shared" si="3"/>
        <v>0.20866536999999999</v>
      </c>
      <c r="AE19" s="1247">
        <f>+AA19-AC19</f>
        <v>360851</v>
      </c>
      <c r="AF19" s="1248"/>
      <c r="AG19" s="1248"/>
      <c r="AH19" s="506" t="e">
        <f t="shared" si="4"/>
        <v>#DIV/0!</v>
      </c>
      <c r="AI19" s="1245">
        <v>700000000</v>
      </c>
      <c r="AJ19" s="1245">
        <f t="shared" si="10"/>
        <v>42093925</v>
      </c>
      <c r="AK19" s="1246">
        <f t="shared" si="5"/>
        <v>6.0134178571428575E-2</v>
      </c>
      <c r="AL19" s="1247"/>
      <c r="AM19" s="1248"/>
      <c r="AN19" s="1249" t="s">
        <v>302</v>
      </c>
      <c r="AO19" s="1169" t="s">
        <v>894</v>
      </c>
      <c r="AP19" s="1250"/>
      <c r="AQ19" s="1251"/>
    </row>
    <row r="20" spans="1:43" ht="63.75" x14ac:dyDescent="0.25">
      <c r="A20" s="242" t="s">
        <v>522</v>
      </c>
      <c r="B20" s="325" t="s">
        <v>708</v>
      </c>
      <c r="C20" s="1232">
        <v>1</v>
      </c>
      <c r="D20" s="1233">
        <v>0</v>
      </c>
      <c r="E20" s="1234">
        <v>1</v>
      </c>
      <c r="F20" s="1232"/>
      <c r="G20" s="1232"/>
      <c r="H20" s="167">
        <f t="shared" si="7"/>
        <v>1</v>
      </c>
      <c r="I20" s="148">
        <v>0</v>
      </c>
      <c r="J20" s="1235"/>
      <c r="K20" s="1235"/>
      <c r="L20" s="1236"/>
      <c r="M20" s="1237"/>
      <c r="N20" s="1238"/>
      <c r="O20" s="1235"/>
      <c r="P20" s="1235"/>
      <c r="Q20" s="1235"/>
      <c r="R20" s="1239"/>
      <c r="S20" s="156"/>
      <c r="T20" s="1232">
        <v>1</v>
      </c>
      <c r="U20" s="1241">
        <f>SUM(E20:F20)</f>
        <v>1</v>
      </c>
      <c r="V20" s="152">
        <f>IF(U20/T20&gt;=100%,100%,U20/T20)</f>
        <v>1</v>
      </c>
      <c r="W20" s="167">
        <v>0.02</v>
      </c>
      <c r="X20" s="395">
        <v>0</v>
      </c>
      <c r="Y20" s="452"/>
      <c r="Z20" s="274">
        <v>27500000</v>
      </c>
      <c r="AA20" s="1248"/>
      <c r="AB20" s="208" t="e">
        <f t="shared" si="2"/>
        <v>#DIV/0!</v>
      </c>
      <c r="AC20" s="1243"/>
      <c r="AD20" s="1240" t="e">
        <f t="shared" si="3"/>
        <v>#DIV/0!</v>
      </c>
      <c r="AE20" s="1247"/>
      <c r="AF20" s="1248"/>
      <c r="AG20" s="1248"/>
      <c r="AH20" s="506" t="e">
        <f t="shared" si="4"/>
        <v>#DIV/0!</v>
      </c>
      <c r="AI20" s="1245">
        <v>200000000</v>
      </c>
      <c r="AJ20" s="1245">
        <f t="shared" si="10"/>
        <v>27500000</v>
      </c>
      <c r="AK20" s="1246">
        <f t="shared" si="5"/>
        <v>0.13750000000000001</v>
      </c>
      <c r="AL20" s="1247"/>
      <c r="AM20" s="1248"/>
      <c r="AN20" s="1249" t="s">
        <v>302</v>
      </c>
      <c r="AO20" s="1169" t="s">
        <v>893</v>
      </c>
      <c r="AP20" s="1250"/>
      <c r="AQ20" s="1251"/>
    </row>
    <row r="21" spans="1:43" ht="76.5" x14ac:dyDescent="0.25">
      <c r="A21" s="242" t="s">
        <v>523</v>
      </c>
      <c r="B21" s="325" t="s">
        <v>709</v>
      </c>
      <c r="C21" s="1232">
        <v>0</v>
      </c>
      <c r="D21" s="1233">
        <v>1</v>
      </c>
      <c r="E21" s="1234">
        <v>0</v>
      </c>
      <c r="F21" s="1232">
        <v>0</v>
      </c>
      <c r="G21" s="1232"/>
      <c r="H21" s="167" t="e">
        <f t="shared" si="7"/>
        <v>#DIV/0!</v>
      </c>
      <c r="I21" s="148">
        <f t="shared" si="11"/>
        <v>0</v>
      </c>
      <c r="J21" s="1235" t="s">
        <v>934</v>
      </c>
      <c r="K21" s="1235"/>
      <c r="L21" s="1236"/>
      <c r="M21" s="1237"/>
      <c r="N21" s="1238"/>
      <c r="O21" s="1235"/>
      <c r="P21" s="1235"/>
      <c r="Q21" s="1235"/>
      <c r="R21" s="1239"/>
      <c r="S21" s="156"/>
      <c r="T21" s="1232">
        <v>2</v>
      </c>
      <c r="U21" s="1241">
        <f t="shared" ref="U21" si="16">SUM(E21:F21)</f>
        <v>0</v>
      </c>
      <c r="V21" s="152">
        <f t="shared" ref="V21" si="17">IF(U21/T21&gt;=100%,100%,U21/T21)</f>
        <v>0</v>
      </c>
      <c r="W21" s="167">
        <v>0.15</v>
      </c>
      <c r="X21" s="395">
        <v>0.14000000000000001</v>
      </c>
      <c r="Y21" s="452">
        <v>20000000</v>
      </c>
      <c r="Z21" s="274">
        <v>0</v>
      </c>
      <c r="AA21" s="1248">
        <v>16893925</v>
      </c>
      <c r="AB21" s="208">
        <f t="shared" si="2"/>
        <v>0.84469625000000004</v>
      </c>
      <c r="AC21" s="1243">
        <v>16533074</v>
      </c>
      <c r="AD21" s="1240">
        <f t="shared" si="3"/>
        <v>0.82665370000000005</v>
      </c>
      <c r="AE21" s="1247">
        <f>+AA21-AC21</f>
        <v>360851</v>
      </c>
      <c r="AF21" s="1248"/>
      <c r="AG21" s="1248"/>
      <c r="AH21" s="506" t="e">
        <f t="shared" si="4"/>
        <v>#DIV/0!</v>
      </c>
      <c r="AI21" s="1245">
        <v>700000000</v>
      </c>
      <c r="AJ21" s="1245">
        <f t="shared" si="10"/>
        <v>16893925</v>
      </c>
      <c r="AK21" s="1246">
        <f t="shared" si="5"/>
        <v>2.413417857142857E-2</v>
      </c>
      <c r="AL21" s="1247"/>
      <c r="AM21" s="1248"/>
      <c r="AN21" s="1249" t="s">
        <v>302</v>
      </c>
      <c r="AO21" s="1169" t="s">
        <v>893</v>
      </c>
      <c r="AP21" s="1250"/>
      <c r="AQ21" s="1251"/>
    </row>
    <row r="22" spans="1:43" ht="114.75" x14ac:dyDescent="0.25">
      <c r="A22" s="242" t="s">
        <v>524</v>
      </c>
      <c r="B22" s="325" t="s">
        <v>710</v>
      </c>
      <c r="C22" s="1232">
        <v>1</v>
      </c>
      <c r="D22" s="1233">
        <v>2</v>
      </c>
      <c r="E22" s="1234">
        <v>1</v>
      </c>
      <c r="F22" s="1232">
        <v>2</v>
      </c>
      <c r="G22" s="1232"/>
      <c r="H22" s="167">
        <f t="shared" si="7"/>
        <v>1</v>
      </c>
      <c r="I22" s="148">
        <f t="shared" si="11"/>
        <v>1</v>
      </c>
      <c r="J22" s="1235" t="s">
        <v>936</v>
      </c>
      <c r="K22" s="1235"/>
      <c r="L22" s="1236"/>
      <c r="M22" s="1237"/>
      <c r="N22" s="1238"/>
      <c r="O22" s="1235"/>
      <c r="P22" s="1235"/>
      <c r="Q22" s="1235"/>
      <c r="R22" s="1239"/>
      <c r="S22" s="156"/>
      <c r="T22" s="1232">
        <v>7</v>
      </c>
      <c r="U22" s="1241">
        <f>SUM(E22:F22)</f>
        <v>3</v>
      </c>
      <c r="V22" s="152">
        <f>IF(U22/T22&gt;=100%,100%,U22/T22)</f>
        <v>0.42857142857142855</v>
      </c>
      <c r="W22" s="167">
        <v>0.08</v>
      </c>
      <c r="X22" s="395">
        <v>0.12</v>
      </c>
      <c r="Y22" s="452">
        <v>200000000</v>
      </c>
      <c r="Z22" s="274">
        <v>35000000</v>
      </c>
      <c r="AA22" s="1247">
        <v>167826809</v>
      </c>
      <c r="AB22" s="208">
        <f t="shared" si="2"/>
        <v>0.839134045</v>
      </c>
      <c r="AC22" s="1243">
        <v>62895003</v>
      </c>
      <c r="AD22" s="1240">
        <f t="shared" si="3"/>
        <v>0.31447501500000002</v>
      </c>
      <c r="AE22" s="1247">
        <f>+AA22-AC22</f>
        <v>104931806</v>
      </c>
      <c r="AF22" s="1247"/>
      <c r="AG22" s="1247"/>
      <c r="AH22" s="506" t="e">
        <f t="shared" si="4"/>
        <v>#DIV/0!</v>
      </c>
      <c r="AI22" s="1254">
        <v>600000000</v>
      </c>
      <c r="AJ22" s="1245">
        <f>+SUM(Z22:AA22)</f>
        <v>202826809</v>
      </c>
      <c r="AK22" s="1246">
        <f t="shared" si="5"/>
        <v>0.33804468166666668</v>
      </c>
      <c r="AL22" s="1247"/>
      <c r="AM22" s="1248"/>
      <c r="AN22" s="1249" t="s">
        <v>302</v>
      </c>
      <c r="AO22" s="1169" t="s">
        <v>893</v>
      </c>
      <c r="AP22" s="1250"/>
      <c r="AQ22" s="1251"/>
    </row>
    <row r="23" spans="1:43" ht="51" x14ac:dyDescent="0.25">
      <c r="A23" s="241" t="s">
        <v>454</v>
      </c>
      <c r="B23" s="140"/>
      <c r="C23" s="141"/>
      <c r="D23" s="187"/>
      <c r="E23" s="181"/>
      <c r="F23" s="141"/>
      <c r="G23" s="141"/>
      <c r="H23" s="142">
        <f>+SUMPRODUCT(H24:H25,W24:W25)</f>
        <v>1</v>
      </c>
      <c r="I23" s="142">
        <f>+SUMPRODUCT(I24:I25,X24:X25)</f>
        <v>1</v>
      </c>
      <c r="J23" s="143"/>
      <c r="K23" s="143"/>
      <c r="L23" s="143"/>
      <c r="M23" s="144"/>
      <c r="N23" s="144"/>
      <c r="O23" s="143"/>
      <c r="P23" s="143"/>
      <c r="Q23" s="143"/>
      <c r="R23" s="143"/>
      <c r="S23" s="1225"/>
      <c r="T23" s="1226"/>
      <c r="U23" s="201"/>
      <c r="V23" s="165">
        <f>+SUMPRODUCT(V24:V25,W24:W25)</f>
        <v>0.75</v>
      </c>
      <c r="W23" s="142">
        <v>0.1</v>
      </c>
      <c r="X23" s="394">
        <v>0.1</v>
      </c>
      <c r="Y23" s="145">
        <f>SUM(Y24:Y25)</f>
        <v>600000000</v>
      </c>
      <c r="Z23" s="145">
        <f>SUM(Z24:Z25)</f>
        <v>191150000</v>
      </c>
      <c r="AA23" s="145">
        <f>SUM(AA24:AA25)</f>
        <v>567479073</v>
      </c>
      <c r="AB23" s="207">
        <f t="shared" si="2"/>
        <v>0.94579845500000004</v>
      </c>
      <c r="AC23" s="145">
        <f>SUM(AC24:AC25)</f>
        <v>523178398</v>
      </c>
      <c r="AD23" s="1225">
        <f t="shared" si="3"/>
        <v>0.87196399666666669</v>
      </c>
      <c r="AE23" s="145">
        <f>SUM(AE24:AE25)</f>
        <v>44300675</v>
      </c>
      <c r="AF23" s="145">
        <f>SUM(AF24:AF25)</f>
        <v>32500000</v>
      </c>
      <c r="AG23" s="145">
        <f>SUM(AG24:AG25)</f>
        <v>32500000</v>
      </c>
      <c r="AH23" s="505">
        <f t="shared" si="4"/>
        <v>1</v>
      </c>
      <c r="AI23" s="145">
        <f>SUM(AI24:AI25)</f>
        <v>1800000000</v>
      </c>
      <c r="AJ23" s="145">
        <f>SUM(AJ24:AJ25)</f>
        <v>758629073</v>
      </c>
      <c r="AK23" s="1228">
        <f t="shared" si="5"/>
        <v>0.42146059611111109</v>
      </c>
      <c r="AL23" s="1229"/>
      <c r="AM23" s="159"/>
      <c r="AN23" s="482"/>
      <c r="AO23" s="145"/>
      <c r="AP23" s="483"/>
      <c r="AQ23" s="101"/>
    </row>
    <row r="24" spans="1:43" ht="178.5" x14ac:dyDescent="0.25">
      <c r="A24" s="243" t="s">
        <v>525</v>
      </c>
      <c r="B24" s="217" t="s">
        <v>717</v>
      </c>
      <c r="C24" s="1232">
        <v>1</v>
      </c>
      <c r="D24" s="1233">
        <v>1</v>
      </c>
      <c r="E24" s="1234">
        <v>1</v>
      </c>
      <c r="F24" s="1232">
        <v>1</v>
      </c>
      <c r="G24" s="1232"/>
      <c r="H24" s="167">
        <f t="shared" si="7"/>
        <v>1</v>
      </c>
      <c r="I24" s="148">
        <f>IF(F24/D24&gt;=100%,100%,F24/D24)</f>
        <v>1</v>
      </c>
      <c r="J24" s="1235" t="s">
        <v>937</v>
      </c>
      <c r="K24" s="1235"/>
      <c r="L24" s="1236"/>
      <c r="M24" s="1237"/>
      <c r="N24" s="1238"/>
      <c r="O24" s="1235"/>
      <c r="P24" s="1235"/>
      <c r="Q24" s="1235"/>
      <c r="R24" s="1239"/>
      <c r="S24" s="1240"/>
      <c r="T24" s="1232">
        <v>4</v>
      </c>
      <c r="U24" s="1241">
        <f>SUM(E24:F24)</f>
        <v>2</v>
      </c>
      <c r="V24" s="152">
        <f>IF(U24/T24&gt;=100%,100%,U24/T24)</f>
        <v>0.5</v>
      </c>
      <c r="W24" s="399">
        <v>0.5</v>
      </c>
      <c r="X24" s="393">
        <v>0.5</v>
      </c>
      <c r="Y24" s="453">
        <v>400000000</v>
      </c>
      <c r="Z24" s="274">
        <v>151150000</v>
      </c>
      <c r="AA24" s="1242">
        <v>370950000</v>
      </c>
      <c r="AB24" s="208">
        <f t="shared" si="2"/>
        <v>0.92737499999999995</v>
      </c>
      <c r="AC24" s="1243">
        <v>368950000</v>
      </c>
      <c r="AD24" s="1240">
        <f t="shared" si="3"/>
        <v>0.92237499999999994</v>
      </c>
      <c r="AE24" s="1247">
        <f>+AA24-AC24</f>
        <v>2000000</v>
      </c>
      <c r="AF24" s="1242">
        <v>12500000</v>
      </c>
      <c r="AG24" s="1242">
        <v>12500000</v>
      </c>
      <c r="AH24" s="506">
        <f t="shared" si="4"/>
        <v>1</v>
      </c>
      <c r="AI24" s="1255">
        <v>1200000000</v>
      </c>
      <c r="AJ24" s="1255">
        <f t="shared" ref="AJ24:AJ75" si="18">+SUM(Z24:AA24)</f>
        <v>522100000</v>
      </c>
      <c r="AK24" s="1246">
        <f t="shared" si="5"/>
        <v>0.43508333333333332</v>
      </c>
      <c r="AL24" s="1247"/>
      <c r="AM24" s="1248"/>
      <c r="AN24" s="1249" t="s">
        <v>302</v>
      </c>
      <c r="AO24" s="1875" t="s">
        <v>895</v>
      </c>
      <c r="AP24" s="1250"/>
      <c r="AQ24" s="1251"/>
    </row>
    <row r="25" spans="1:43" ht="153" x14ac:dyDescent="0.25">
      <c r="A25" s="243" t="s">
        <v>526</v>
      </c>
      <c r="B25" s="1231" t="s">
        <v>718</v>
      </c>
      <c r="C25" s="1232">
        <v>3</v>
      </c>
      <c r="D25" s="1233">
        <v>3</v>
      </c>
      <c r="E25" s="1234">
        <v>3</v>
      </c>
      <c r="F25" s="1232">
        <v>3</v>
      </c>
      <c r="G25" s="1232"/>
      <c r="H25" s="167">
        <f t="shared" si="7"/>
        <v>1</v>
      </c>
      <c r="I25" s="148">
        <f>IF(F25/D25&gt;=100%,100%,F25/D25)</f>
        <v>1</v>
      </c>
      <c r="J25" s="1235" t="s">
        <v>938</v>
      </c>
      <c r="K25" s="1235"/>
      <c r="L25" s="1236"/>
      <c r="M25" s="1237"/>
      <c r="N25" s="1238"/>
      <c r="O25" s="1235"/>
      <c r="P25" s="1235"/>
      <c r="Q25" s="1235"/>
      <c r="R25" s="1239"/>
      <c r="S25" s="153"/>
      <c r="T25" s="1232">
        <v>4</v>
      </c>
      <c r="U25" s="1241">
        <f>SUM(E25:F25)</f>
        <v>6</v>
      </c>
      <c r="V25" s="152">
        <f>IF(U25/T25&gt;=100%,100%,U25/T25)</f>
        <v>1</v>
      </c>
      <c r="W25" s="399">
        <v>0.5</v>
      </c>
      <c r="X25" s="393">
        <v>0.5</v>
      </c>
      <c r="Y25" s="453">
        <v>200000000</v>
      </c>
      <c r="Z25" s="274">
        <v>40000000</v>
      </c>
      <c r="AA25" s="1248">
        <v>196529073</v>
      </c>
      <c r="AB25" s="208">
        <f t="shared" si="2"/>
        <v>0.98264536499999999</v>
      </c>
      <c r="AC25" s="1243">
        <v>154228398</v>
      </c>
      <c r="AD25" s="1240">
        <f t="shared" si="3"/>
        <v>0.77114199000000005</v>
      </c>
      <c r="AE25" s="1247">
        <f>+AA25-AC25</f>
        <v>42300675</v>
      </c>
      <c r="AF25" s="1248">
        <v>20000000</v>
      </c>
      <c r="AG25" s="1248">
        <v>20000000</v>
      </c>
      <c r="AH25" s="506">
        <f t="shared" si="4"/>
        <v>1</v>
      </c>
      <c r="AI25" s="1255">
        <v>600000000</v>
      </c>
      <c r="AJ25" s="1255">
        <f t="shared" si="18"/>
        <v>236529073</v>
      </c>
      <c r="AK25" s="1246">
        <f t="shared" si="5"/>
        <v>0.39421512166666667</v>
      </c>
      <c r="AL25" s="1247"/>
      <c r="AM25" s="1248"/>
      <c r="AN25" s="1249" t="s">
        <v>8</v>
      </c>
      <c r="AO25" s="1870"/>
      <c r="AP25" s="1250"/>
      <c r="AQ25" s="1251"/>
    </row>
    <row r="26" spans="1:43" ht="25.5" x14ac:dyDescent="0.25">
      <c r="A26" s="241" t="s">
        <v>455</v>
      </c>
      <c r="B26" s="140"/>
      <c r="C26" s="141"/>
      <c r="D26" s="187"/>
      <c r="E26" s="181"/>
      <c r="F26" s="141"/>
      <c r="G26" s="141"/>
      <c r="H26" s="142">
        <f>+SUMPRODUCT(H27:H31,W27:W31)</f>
        <v>0.99999999999999989</v>
      </c>
      <c r="I26" s="142">
        <f>+SUMPRODUCT(I27:I31,X27:X31)</f>
        <v>0.9</v>
      </c>
      <c r="J26" s="143"/>
      <c r="K26" s="143"/>
      <c r="L26" s="143"/>
      <c r="M26" s="144"/>
      <c r="N26" s="144"/>
      <c r="O26" s="143"/>
      <c r="P26" s="143"/>
      <c r="Q26" s="143"/>
      <c r="R26" s="143"/>
      <c r="S26" s="1225"/>
      <c r="T26" s="1226"/>
      <c r="U26" s="201"/>
      <c r="V26" s="165">
        <f>+SUMPRODUCT(V27:V32,W27:W32)</f>
        <v>0.54452777777777772</v>
      </c>
      <c r="W26" s="142">
        <v>0.7</v>
      </c>
      <c r="X26" s="394">
        <v>0.7</v>
      </c>
      <c r="Y26" s="145">
        <f>SUM(Y27:Y31)</f>
        <v>42476923235</v>
      </c>
      <c r="Z26" s="145">
        <f>SUM(Z27:Z31)</f>
        <v>4965508956.4099998</v>
      </c>
      <c r="AA26" s="145">
        <f>SUM(AA27:AA31)</f>
        <v>15640803833.17</v>
      </c>
      <c r="AB26" s="207">
        <f t="shared" si="2"/>
        <v>0.36821885018927974</v>
      </c>
      <c r="AC26" s="1256">
        <f>SUM(AC27:AC31)</f>
        <v>14494966360.110001</v>
      </c>
      <c r="AD26" s="1225">
        <f t="shared" si="3"/>
        <v>0.34124332122451101</v>
      </c>
      <c r="AE26" s="145">
        <f>SUM(AE27:AE31)</f>
        <v>1145837473.0599999</v>
      </c>
      <c r="AF26" s="145">
        <f>SUM(AF27:AF31)</f>
        <v>4461930634.8000002</v>
      </c>
      <c r="AG26" s="145">
        <f>SUM(AG27:AG31)</f>
        <v>3692130700.3299999</v>
      </c>
      <c r="AH26" s="505">
        <f t="shared" si="4"/>
        <v>0.82747380058621067</v>
      </c>
      <c r="AI26" s="145">
        <f>SUM(AI27:AI31)</f>
        <v>49695000000</v>
      </c>
      <c r="AJ26" s="145">
        <f>SUM(AJ27:AJ31)</f>
        <v>20606312789.580006</v>
      </c>
      <c r="AK26" s="1228">
        <f t="shared" si="5"/>
        <v>0.41465565528886217</v>
      </c>
      <c r="AL26" s="1229"/>
      <c r="AM26" s="159"/>
      <c r="AN26" s="482"/>
      <c r="AO26" s="145"/>
      <c r="AP26" s="483"/>
      <c r="AQ26" s="101"/>
    </row>
    <row r="27" spans="1:43" ht="191.25" x14ac:dyDescent="0.25">
      <c r="A27" s="242" t="s">
        <v>527</v>
      </c>
      <c r="B27" s="325" t="s">
        <v>719</v>
      </c>
      <c r="C27" s="1232">
        <v>1</v>
      </c>
      <c r="D27" s="1233">
        <v>1</v>
      </c>
      <c r="E27" s="1234">
        <v>0</v>
      </c>
      <c r="F27" s="1232">
        <v>0</v>
      </c>
      <c r="G27" s="1232">
        <v>1</v>
      </c>
      <c r="H27" s="167">
        <f t="shared" si="7"/>
        <v>1</v>
      </c>
      <c r="I27" s="148">
        <f t="shared" ref="I27:I31" si="19">IF(F27/D27&gt;=100%,100%,F27/D27)</f>
        <v>0</v>
      </c>
      <c r="J27" s="1235" t="s">
        <v>1481</v>
      </c>
      <c r="K27" s="1235"/>
      <c r="L27" s="1236"/>
      <c r="M27" s="1237"/>
      <c r="N27" s="1238"/>
      <c r="O27" s="1235"/>
      <c r="P27" s="1235"/>
      <c r="Q27" s="1235"/>
      <c r="R27" s="1239"/>
      <c r="S27" s="1240"/>
      <c r="T27" s="1232">
        <v>4</v>
      </c>
      <c r="U27" s="1241">
        <f>SUM(E27:F27)</f>
        <v>0</v>
      </c>
      <c r="V27" s="152">
        <f t="shared" ref="V27:V36" si="20">IF(U27/T27&gt;=100%,100%,U27/T27)</f>
        <v>0</v>
      </c>
      <c r="W27" s="399">
        <v>0.1</v>
      </c>
      <c r="X27" s="393">
        <v>0.1</v>
      </c>
      <c r="Y27" s="452">
        <v>247000000</v>
      </c>
      <c r="Z27" s="290">
        <v>399801255.61000001</v>
      </c>
      <c r="AA27" s="1242">
        <v>242056750.25999999</v>
      </c>
      <c r="AB27" s="208">
        <f t="shared" si="2"/>
        <v>0.97998684315789475</v>
      </c>
      <c r="AC27" s="1243">
        <v>55048034</v>
      </c>
      <c r="AD27" s="1240">
        <f t="shared" si="3"/>
        <v>0.22286653441295545</v>
      </c>
      <c r="AE27" s="1247">
        <f>+AA27-AC27</f>
        <v>187008716.25999999</v>
      </c>
      <c r="AF27" s="1242">
        <v>386801255</v>
      </c>
      <c r="AG27" s="1242">
        <v>386801255</v>
      </c>
      <c r="AH27" s="506">
        <f t="shared" si="4"/>
        <v>1</v>
      </c>
      <c r="AI27" s="1255">
        <v>2000000000</v>
      </c>
      <c r="AJ27" s="1255">
        <f t="shared" si="18"/>
        <v>641858005.87</v>
      </c>
      <c r="AK27" s="1246">
        <f t="shared" si="5"/>
        <v>0.32092900293499999</v>
      </c>
      <c r="AL27" s="1247"/>
      <c r="AM27" s="1248"/>
      <c r="AN27" s="1249" t="s">
        <v>302</v>
      </c>
      <c r="AO27" s="1876" t="s">
        <v>896</v>
      </c>
      <c r="AP27" s="1250"/>
      <c r="AQ27" s="1251"/>
    </row>
    <row r="28" spans="1:43" ht="114.75" x14ac:dyDescent="0.25">
      <c r="A28" s="242" t="s">
        <v>528</v>
      </c>
      <c r="B28" s="325" t="s">
        <v>720</v>
      </c>
      <c r="C28" s="1232">
        <v>1</v>
      </c>
      <c r="D28" s="1233">
        <v>1</v>
      </c>
      <c r="E28" s="1234">
        <v>1</v>
      </c>
      <c r="F28" s="1232">
        <v>1</v>
      </c>
      <c r="G28" s="1232"/>
      <c r="H28" s="167">
        <f t="shared" si="7"/>
        <v>1</v>
      </c>
      <c r="I28" s="148">
        <f t="shared" si="19"/>
        <v>1</v>
      </c>
      <c r="J28" s="1235" t="s">
        <v>939</v>
      </c>
      <c r="K28" s="1235"/>
      <c r="L28" s="1236"/>
      <c r="M28" s="1237"/>
      <c r="N28" s="1238"/>
      <c r="O28" s="1235"/>
      <c r="P28" s="1235"/>
      <c r="Q28" s="1235"/>
      <c r="R28" s="1239"/>
      <c r="S28" s="153"/>
      <c r="T28" s="1232">
        <v>4</v>
      </c>
      <c r="U28" s="1241">
        <f t="shared" ref="U28:U31" si="21">SUM(E28:F28)</f>
        <v>2</v>
      </c>
      <c r="V28" s="152">
        <f t="shared" si="20"/>
        <v>0.5</v>
      </c>
      <c r="W28" s="399">
        <v>0.4</v>
      </c>
      <c r="X28" s="393">
        <v>0.4</v>
      </c>
      <c r="Y28" s="452">
        <v>38312385535</v>
      </c>
      <c r="Z28" s="290">
        <v>149750000</v>
      </c>
      <c r="AA28" s="1248">
        <v>11776505702.950001</v>
      </c>
      <c r="AB28" s="208">
        <f t="shared" si="2"/>
        <v>0.30738116508541763</v>
      </c>
      <c r="AC28" s="1243">
        <v>11545338771.700001</v>
      </c>
      <c r="AD28" s="1240">
        <f t="shared" si="3"/>
        <v>0.30134742617770016</v>
      </c>
      <c r="AE28" s="1247">
        <f>+AA28-AC28</f>
        <v>231166931.25</v>
      </c>
      <c r="AF28" s="1248">
        <v>121750000</v>
      </c>
      <c r="AG28" s="1248">
        <v>121750000</v>
      </c>
      <c r="AH28" s="506">
        <f t="shared" si="4"/>
        <v>1</v>
      </c>
      <c r="AI28" s="1255">
        <v>28800000000</v>
      </c>
      <c r="AJ28" s="1255">
        <f t="shared" si="18"/>
        <v>11926255702.950001</v>
      </c>
      <c r="AK28" s="1246">
        <f t="shared" si="5"/>
        <v>0.41410610079687504</v>
      </c>
      <c r="AL28" s="1247"/>
      <c r="AM28" s="1248"/>
      <c r="AN28" s="1249" t="s">
        <v>302</v>
      </c>
      <c r="AO28" s="1874"/>
      <c r="AP28" s="1250"/>
      <c r="AQ28" s="1251"/>
    </row>
    <row r="29" spans="1:43" ht="76.5" x14ac:dyDescent="0.25">
      <c r="A29" s="242" t="s">
        <v>529</v>
      </c>
      <c r="B29" s="325" t="s">
        <v>721</v>
      </c>
      <c r="C29" s="1232">
        <v>1</v>
      </c>
      <c r="D29" s="1233">
        <v>1</v>
      </c>
      <c r="E29" s="1234">
        <v>0</v>
      </c>
      <c r="F29" s="1232">
        <v>1</v>
      </c>
      <c r="G29" s="1232">
        <v>1</v>
      </c>
      <c r="H29" s="167">
        <f t="shared" si="7"/>
        <v>1</v>
      </c>
      <c r="I29" s="148">
        <f t="shared" si="19"/>
        <v>1</v>
      </c>
      <c r="J29" s="1235" t="s">
        <v>1482</v>
      </c>
      <c r="K29" s="1235"/>
      <c r="L29" s="1236"/>
      <c r="M29" s="1237"/>
      <c r="N29" s="1238"/>
      <c r="O29" s="1235"/>
      <c r="P29" s="1235"/>
      <c r="Q29" s="1235"/>
      <c r="R29" s="1239"/>
      <c r="S29" s="153"/>
      <c r="T29" s="1232">
        <v>4</v>
      </c>
      <c r="U29" s="1241">
        <f t="shared" si="21"/>
        <v>1</v>
      </c>
      <c r="V29" s="152">
        <f t="shared" si="20"/>
        <v>0.25</v>
      </c>
      <c r="W29" s="399">
        <v>0.2</v>
      </c>
      <c r="X29" s="393">
        <v>0.2</v>
      </c>
      <c r="Y29" s="452">
        <v>2217537700</v>
      </c>
      <c r="Z29" s="290">
        <v>2817080389.8000002</v>
      </c>
      <c r="AA29" s="1248">
        <v>2196156222.4000001</v>
      </c>
      <c r="AB29" s="208">
        <f t="shared" si="2"/>
        <v>0.99035800942640118</v>
      </c>
      <c r="AC29" s="1243">
        <v>1748051434.4100001</v>
      </c>
      <c r="AD29" s="1240">
        <f t="shared" si="3"/>
        <v>0.78828487759644406</v>
      </c>
      <c r="AE29" s="1247">
        <f>+AA29-AC29</f>
        <v>448104787.99000001</v>
      </c>
      <c r="AF29" s="1248">
        <v>2390337209.8000002</v>
      </c>
      <c r="AG29" s="1248">
        <v>1770537275.3299999</v>
      </c>
      <c r="AH29" s="506">
        <f t="shared" si="4"/>
        <v>0.74070606777616155</v>
      </c>
      <c r="AI29" s="1255">
        <v>6800000000</v>
      </c>
      <c r="AJ29" s="1255">
        <f t="shared" si="18"/>
        <v>5013236612.2000008</v>
      </c>
      <c r="AK29" s="1246">
        <f t="shared" si="5"/>
        <v>0.73724067826470596</v>
      </c>
      <c r="AL29" s="1247"/>
      <c r="AM29" s="1248"/>
      <c r="AN29" s="1249" t="s">
        <v>302</v>
      </c>
      <c r="AO29" s="1874"/>
      <c r="AP29" s="1250"/>
      <c r="AQ29" s="1251"/>
    </row>
    <row r="30" spans="1:43" ht="140.25" x14ac:dyDescent="0.25">
      <c r="A30" s="242" t="s">
        <v>530</v>
      </c>
      <c r="B30" s="325" t="s">
        <v>722</v>
      </c>
      <c r="C30" s="1232">
        <v>1</v>
      </c>
      <c r="D30" s="1233">
        <v>1</v>
      </c>
      <c r="E30" s="1234">
        <v>1</v>
      </c>
      <c r="F30" s="1232">
        <v>1</v>
      </c>
      <c r="G30" s="1232"/>
      <c r="H30" s="167">
        <f t="shared" si="7"/>
        <v>1</v>
      </c>
      <c r="I30" s="148">
        <f t="shared" si="19"/>
        <v>1</v>
      </c>
      <c r="J30" s="1235" t="s">
        <v>940</v>
      </c>
      <c r="K30" s="1235"/>
      <c r="L30" s="1236"/>
      <c r="M30" s="1237"/>
      <c r="N30" s="1238"/>
      <c r="O30" s="1235"/>
      <c r="P30" s="1235"/>
      <c r="Q30" s="1235"/>
      <c r="R30" s="1239"/>
      <c r="S30" s="153"/>
      <c r="T30" s="1232">
        <v>4</v>
      </c>
      <c r="U30" s="1241">
        <f t="shared" si="21"/>
        <v>2</v>
      </c>
      <c r="V30" s="152">
        <f t="shared" si="20"/>
        <v>0.5</v>
      </c>
      <c r="W30" s="399">
        <v>0.2</v>
      </c>
      <c r="X30" s="393">
        <v>0.2</v>
      </c>
      <c r="Y30" s="452">
        <v>1400000000</v>
      </c>
      <c r="Z30" s="274">
        <v>1573877311</v>
      </c>
      <c r="AA30" s="1248">
        <v>1130744278.5599999</v>
      </c>
      <c r="AB30" s="208">
        <f t="shared" si="2"/>
        <v>0.80767448468571423</v>
      </c>
      <c r="AC30" s="1243">
        <v>851728517</v>
      </c>
      <c r="AD30" s="1240">
        <f t="shared" si="3"/>
        <v>0.60837751214285718</v>
      </c>
      <c r="AE30" s="1247">
        <f>+AA30-AC30</f>
        <v>279015761.55999994</v>
      </c>
      <c r="AF30" s="1248">
        <v>1553042170</v>
      </c>
      <c r="AG30" s="1248">
        <v>1403042170</v>
      </c>
      <c r="AH30" s="506">
        <f t="shared" si="4"/>
        <v>0.90341537216597279</v>
      </c>
      <c r="AI30" s="1255">
        <v>9395000000</v>
      </c>
      <c r="AJ30" s="1255">
        <f t="shared" si="18"/>
        <v>2704621589.5599999</v>
      </c>
      <c r="AK30" s="1246">
        <f t="shared" si="5"/>
        <v>0.28787882805321979</v>
      </c>
      <c r="AL30" s="1247"/>
      <c r="AM30" s="1248"/>
      <c r="AN30" s="1249" t="s">
        <v>302</v>
      </c>
      <c r="AO30" s="1874"/>
      <c r="AP30" s="1250"/>
      <c r="AQ30" s="1251"/>
    </row>
    <row r="31" spans="1:43" ht="76.5" x14ac:dyDescent="0.25">
      <c r="A31" s="242" t="s">
        <v>531</v>
      </c>
      <c r="B31" s="325" t="s">
        <v>723</v>
      </c>
      <c r="C31" s="1232">
        <v>1</v>
      </c>
      <c r="D31" s="1233">
        <v>1</v>
      </c>
      <c r="E31" s="1234">
        <v>1</v>
      </c>
      <c r="F31" s="1232">
        <v>2</v>
      </c>
      <c r="G31" s="1232"/>
      <c r="H31" s="167">
        <f t="shared" si="7"/>
        <v>1</v>
      </c>
      <c r="I31" s="148">
        <f t="shared" si="19"/>
        <v>1</v>
      </c>
      <c r="J31" s="1235" t="s">
        <v>941</v>
      </c>
      <c r="K31" s="1235"/>
      <c r="L31" s="1236"/>
      <c r="M31" s="1237"/>
      <c r="N31" s="1238"/>
      <c r="O31" s="1235"/>
      <c r="P31" s="1235"/>
      <c r="Q31" s="1235"/>
      <c r="R31" s="1239"/>
      <c r="S31" s="153"/>
      <c r="T31" s="1232">
        <v>4</v>
      </c>
      <c r="U31" s="1241">
        <f t="shared" si="21"/>
        <v>3</v>
      </c>
      <c r="V31" s="152">
        <f t="shared" si="20"/>
        <v>0.75</v>
      </c>
      <c r="W31" s="399">
        <v>0.1</v>
      </c>
      <c r="X31" s="393">
        <v>0.1</v>
      </c>
      <c r="Y31" s="452">
        <v>300000000</v>
      </c>
      <c r="Z31" s="274">
        <v>25000000</v>
      </c>
      <c r="AA31" s="1248">
        <v>295340879</v>
      </c>
      <c r="AB31" s="208">
        <f t="shared" si="2"/>
        <v>0.98446959666666667</v>
      </c>
      <c r="AC31" s="1243">
        <v>294799603</v>
      </c>
      <c r="AD31" s="1240">
        <f t="shared" si="3"/>
        <v>0.98266534333333333</v>
      </c>
      <c r="AE31" s="1247">
        <f>+AA31-AC31</f>
        <v>541276</v>
      </c>
      <c r="AF31" s="1248">
        <v>10000000</v>
      </c>
      <c r="AG31" s="1248">
        <v>10000000</v>
      </c>
      <c r="AH31" s="506">
        <f t="shared" si="4"/>
        <v>1</v>
      </c>
      <c r="AI31" s="1255">
        <v>2700000000</v>
      </c>
      <c r="AJ31" s="1255">
        <f t="shared" si="18"/>
        <v>320340879</v>
      </c>
      <c r="AK31" s="1246">
        <f t="shared" si="5"/>
        <v>0.11864477</v>
      </c>
      <c r="AL31" s="1247"/>
      <c r="AM31" s="1248"/>
      <c r="AN31" s="1249" t="s">
        <v>302</v>
      </c>
      <c r="AO31" s="1169" t="s">
        <v>897</v>
      </c>
      <c r="AP31" s="1250"/>
      <c r="AQ31" s="1251"/>
    </row>
    <row r="32" spans="1:43" ht="51" x14ac:dyDescent="0.25">
      <c r="A32" s="1201" t="s">
        <v>427</v>
      </c>
      <c r="B32" s="1220"/>
      <c r="C32" s="1257"/>
      <c r="D32" s="1258"/>
      <c r="E32" s="1259"/>
      <c r="F32" s="1257"/>
      <c r="G32" s="1257"/>
      <c r="H32" s="1260">
        <f>+(H33*W33)+(H37*W37)+(H45*W45)</f>
        <v>0.89024999999999999</v>
      </c>
      <c r="I32" s="1260">
        <f>+(I33*X33)+(I37*X37)+(I45*X45)</f>
        <v>0.85733333333333328</v>
      </c>
      <c r="J32" s="1221"/>
      <c r="K32" s="1221"/>
      <c r="L32" s="1261"/>
      <c r="M32" s="1261"/>
      <c r="N32" s="1261"/>
      <c r="O32" s="1221"/>
      <c r="P32" s="1221"/>
      <c r="Q32" s="1221"/>
      <c r="R32" s="1262"/>
      <c r="S32" s="1263"/>
      <c r="T32" s="1264"/>
      <c r="U32" s="1265"/>
      <c r="V32" s="1266">
        <f>+(V33*W33)+(V37*W37)+(V45*W45)</f>
        <v>0.4781111111111111</v>
      </c>
      <c r="W32" s="1213">
        <v>0.25</v>
      </c>
      <c r="X32" s="1214">
        <v>0.25</v>
      </c>
      <c r="Y32" s="1215">
        <f>+Y33+Y37+Y45</f>
        <v>19549452866</v>
      </c>
      <c r="Z32" s="1215">
        <f>+Z33+Z37+Z45</f>
        <v>1659050070</v>
      </c>
      <c r="AA32" s="1215">
        <f>+AA33+AA37+AA45</f>
        <v>19181525696.200001</v>
      </c>
      <c r="AB32" s="1216">
        <f t="shared" si="2"/>
        <v>0.98117966920496835</v>
      </c>
      <c r="AC32" s="1215">
        <f>+AC33+AC37+AC45</f>
        <v>8942596167</v>
      </c>
      <c r="AD32" s="1218">
        <f t="shared" si="3"/>
        <v>0.45743460076843256</v>
      </c>
      <c r="AE32" s="1215">
        <f>+AE33+AE37+AE45</f>
        <v>10238929529.200001</v>
      </c>
      <c r="AF32" s="1215">
        <f>+AF33+AF37+AF45</f>
        <v>1396500070</v>
      </c>
      <c r="AG32" s="1215">
        <f>+AG33+AG37+AG45</f>
        <v>911592980</v>
      </c>
      <c r="AH32" s="1219">
        <f t="shared" si="4"/>
        <v>0.65276973455504372</v>
      </c>
      <c r="AI32" s="1215">
        <f>+AI33+AI37+AI45</f>
        <v>29550000000</v>
      </c>
      <c r="AJ32" s="1215">
        <f>+AJ33+AJ37+AJ45</f>
        <v>20840575766.200001</v>
      </c>
      <c r="AK32" s="1213">
        <f t="shared" si="5"/>
        <v>0.70526483134348561</v>
      </c>
      <c r="AL32" s="1220"/>
      <c r="AM32" s="1221" t="s">
        <v>295</v>
      </c>
      <c r="AN32" s="1222"/>
      <c r="AO32" s="1215"/>
      <c r="AP32" s="1223"/>
      <c r="AQ32" s="1224"/>
    </row>
    <row r="33" spans="1:43" ht="25.5" x14ac:dyDescent="0.25">
      <c r="A33" s="241" t="s">
        <v>456</v>
      </c>
      <c r="B33" s="140"/>
      <c r="C33" s="141"/>
      <c r="D33" s="187"/>
      <c r="E33" s="181"/>
      <c r="F33" s="141"/>
      <c r="G33" s="141"/>
      <c r="H33" s="142">
        <f>+(H34*50%)+(H35*50%)</f>
        <v>0.82250000000000001</v>
      </c>
      <c r="I33" s="142">
        <f>+SUMPRODUCT(I34:I36,X34:X36)</f>
        <v>0.37333333333333335</v>
      </c>
      <c r="J33" s="143"/>
      <c r="K33" s="143"/>
      <c r="L33" s="143"/>
      <c r="M33" s="144"/>
      <c r="N33" s="144"/>
      <c r="O33" s="143"/>
      <c r="P33" s="143"/>
      <c r="Q33" s="143"/>
      <c r="R33" s="143"/>
      <c r="S33" s="1225"/>
      <c r="T33" s="1226"/>
      <c r="U33" s="201"/>
      <c r="V33" s="165">
        <f>+SUMPRODUCT(V34:V36,W34:W36)</f>
        <v>0.61444444444444435</v>
      </c>
      <c r="W33" s="142">
        <v>0.1</v>
      </c>
      <c r="X33" s="394">
        <v>0.1</v>
      </c>
      <c r="Y33" s="145">
        <f>SUM(Y34:Y36)</f>
        <v>700000000</v>
      </c>
      <c r="Z33" s="145">
        <f>SUM(Z34:Z36)</f>
        <v>162750000</v>
      </c>
      <c r="AA33" s="145">
        <f>SUM(AA34:AA36)</f>
        <v>695340879</v>
      </c>
      <c r="AB33" s="207">
        <f t="shared" si="2"/>
        <v>0.99334411285714286</v>
      </c>
      <c r="AC33" s="145">
        <f>SUM(AC34:AC36)</f>
        <v>665439603</v>
      </c>
      <c r="AD33" s="1225">
        <f t="shared" si="3"/>
        <v>0.95062800428571426</v>
      </c>
      <c r="AE33" s="145">
        <f>SUM(AE34:AE36)</f>
        <v>29901276</v>
      </c>
      <c r="AF33" s="145">
        <f>SUM(AF34:AF36)</f>
        <v>42350000</v>
      </c>
      <c r="AG33" s="145">
        <f>SUM(AG34:AG36)</f>
        <v>42350000</v>
      </c>
      <c r="AH33" s="505">
        <f t="shared" si="4"/>
        <v>1</v>
      </c>
      <c r="AI33" s="145">
        <f>SUM(AI34:AI36)</f>
        <v>1500000000</v>
      </c>
      <c r="AJ33" s="145">
        <f>SUM(AJ34:AJ36)</f>
        <v>858090879</v>
      </c>
      <c r="AK33" s="1228">
        <f t="shared" si="5"/>
        <v>0.57206058599999998</v>
      </c>
      <c r="AL33" s="1229"/>
      <c r="AM33" s="159"/>
      <c r="AN33" s="482"/>
      <c r="AO33" s="145"/>
      <c r="AP33" s="483"/>
      <c r="AQ33" s="101"/>
    </row>
    <row r="34" spans="1:43" ht="51" x14ac:dyDescent="0.25">
      <c r="A34" s="243" t="s">
        <v>532</v>
      </c>
      <c r="B34" s="326" t="s">
        <v>724</v>
      </c>
      <c r="C34" s="169">
        <v>0.4</v>
      </c>
      <c r="D34" s="167">
        <v>0.6</v>
      </c>
      <c r="E34" s="224">
        <v>0.16</v>
      </c>
      <c r="F34" s="169">
        <v>0.52</v>
      </c>
      <c r="G34" s="169">
        <v>0.15</v>
      </c>
      <c r="H34" s="167">
        <f t="shared" ref="H34:H36" si="22">IF((E34+G34)/C34&gt;=100%,100%,(E34+G34)/C34)</f>
        <v>0.77499999999999991</v>
      </c>
      <c r="I34" s="148">
        <f t="shared" ref="I34:I36" si="23">IF(F34/D34&gt;=100%,100%,F34/D34)</f>
        <v>0.8666666666666667</v>
      </c>
      <c r="J34" s="1235" t="s">
        <v>1483</v>
      </c>
      <c r="K34" s="1235"/>
      <c r="L34" s="1236"/>
      <c r="M34" s="1237"/>
      <c r="N34" s="1238"/>
      <c r="O34" s="1235"/>
      <c r="P34" s="1235"/>
      <c r="Q34" s="1235"/>
      <c r="R34" s="1239"/>
      <c r="S34" s="1240"/>
      <c r="T34" s="169">
        <v>0.9</v>
      </c>
      <c r="U34" s="1241">
        <f t="shared" ref="U34" si="24">SUM(E34:F34)</f>
        <v>0.68</v>
      </c>
      <c r="V34" s="152">
        <f t="shared" si="20"/>
        <v>0.75555555555555554</v>
      </c>
      <c r="W34" s="399">
        <v>0.35</v>
      </c>
      <c r="X34" s="393">
        <v>0.35</v>
      </c>
      <c r="Y34" s="453">
        <v>200000000</v>
      </c>
      <c r="Z34" s="274">
        <v>77150000</v>
      </c>
      <c r="AA34" s="1242">
        <v>200000000</v>
      </c>
      <c r="AB34" s="208">
        <f t="shared" si="2"/>
        <v>1</v>
      </c>
      <c r="AC34" s="1243">
        <v>188000000</v>
      </c>
      <c r="AD34" s="1240">
        <f t="shared" si="3"/>
        <v>0.94</v>
      </c>
      <c r="AE34" s="1247">
        <f>+AA34-AC34</f>
        <v>12000000</v>
      </c>
      <c r="AF34" s="1242">
        <v>20850000</v>
      </c>
      <c r="AG34" s="1242">
        <v>20850000</v>
      </c>
      <c r="AH34" s="506">
        <f t="shared" si="4"/>
        <v>1</v>
      </c>
      <c r="AI34" s="1255">
        <v>600000000</v>
      </c>
      <c r="AJ34" s="1255">
        <f t="shared" si="18"/>
        <v>277150000</v>
      </c>
      <c r="AK34" s="1246">
        <f t="shared" si="5"/>
        <v>0.46191666666666664</v>
      </c>
      <c r="AL34" s="1247"/>
      <c r="AM34" s="1248"/>
      <c r="AN34" s="1249" t="s">
        <v>302</v>
      </c>
      <c r="AO34" s="1877" t="s">
        <v>898</v>
      </c>
      <c r="AP34" s="1250"/>
      <c r="AQ34" s="1251"/>
    </row>
    <row r="35" spans="1:43" ht="63.75" x14ac:dyDescent="0.25">
      <c r="A35" s="243" t="s">
        <v>533</v>
      </c>
      <c r="B35" s="327" t="s">
        <v>726</v>
      </c>
      <c r="C35" s="169">
        <v>1</v>
      </c>
      <c r="D35" s="167">
        <v>1</v>
      </c>
      <c r="E35" s="224">
        <v>0.87</v>
      </c>
      <c r="F35" s="169">
        <v>0.2</v>
      </c>
      <c r="G35" s="1232"/>
      <c r="H35" s="167">
        <f t="shared" si="22"/>
        <v>0.87</v>
      </c>
      <c r="I35" s="148">
        <f t="shared" si="23"/>
        <v>0.2</v>
      </c>
      <c r="J35" s="1235" t="s">
        <v>1484</v>
      </c>
      <c r="K35" s="1235"/>
      <c r="L35" s="1236"/>
      <c r="M35" s="1237"/>
      <c r="N35" s="1238"/>
      <c r="O35" s="1235"/>
      <c r="P35" s="1235"/>
      <c r="Q35" s="1235"/>
      <c r="R35" s="1239"/>
      <c r="S35" s="153"/>
      <c r="T35" s="169">
        <v>1</v>
      </c>
      <c r="U35" s="1241">
        <f t="shared" ref="U35:U36" si="25">SUM(E35:F35)</f>
        <v>1.07</v>
      </c>
      <c r="V35" s="152">
        <f t="shared" si="20"/>
        <v>1</v>
      </c>
      <c r="W35" s="399">
        <v>0.35</v>
      </c>
      <c r="X35" s="393">
        <v>0.35</v>
      </c>
      <c r="Y35" s="453">
        <v>200000000</v>
      </c>
      <c r="Z35" s="274">
        <v>85600000</v>
      </c>
      <c r="AA35" s="1248">
        <v>200000000</v>
      </c>
      <c r="AB35" s="208">
        <f t="shared" si="2"/>
        <v>1</v>
      </c>
      <c r="AC35" s="1243">
        <v>182640000</v>
      </c>
      <c r="AD35" s="1240">
        <f t="shared" si="3"/>
        <v>0.91320000000000001</v>
      </c>
      <c r="AE35" s="1247">
        <f>+AA35-AC35</f>
        <v>17360000</v>
      </c>
      <c r="AF35" s="1248">
        <v>21500000</v>
      </c>
      <c r="AG35" s="1248">
        <v>21500000</v>
      </c>
      <c r="AH35" s="506">
        <f t="shared" si="4"/>
        <v>1</v>
      </c>
      <c r="AI35" s="1255">
        <v>600000000</v>
      </c>
      <c r="AJ35" s="1255">
        <f t="shared" si="18"/>
        <v>285600000</v>
      </c>
      <c r="AK35" s="1246">
        <f t="shared" si="5"/>
        <v>0.47599999999999998</v>
      </c>
      <c r="AL35" s="1247"/>
      <c r="AM35" s="1248"/>
      <c r="AN35" s="1249" t="s">
        <v>7</v>
      </c>
      <c r="AO35" s="1874"/>
      <c r="AP35" s="1250"/>
      <c r="AQ35" s="1251"/>
    </row>
    <row r="36" spans="1:43" ht="216.75" x14ac:dyDescent="0.25">
      <c r="A36" s="243" t="s">
        <v>534</v>
      </c>
      <c r="B36" s="326" t="s">
        <v>725</v>
      </c>
      <c r="C36" s="1232">
        <v>0</v>
      </c>
      <c r="D36" s="1233">
        <v>1</v>
      </c>
      <c r="E36" s="1234">
        <v>0</v>
      </c>
      <c r="F36" s="1232">
        <v>0</v>
      </c>
      <c r="G36" s="1232"/>
      <c r="H36" s="167" t="e">
        <f t="shared" si="22"/>
        <v>#DIV/0!</v>
      </c>
      <c r="I36" s="148">
        <f t="shared" si="23"/>
        <v>0</v>
      </c>
      <c r="J36" s="1235" t="s">
        <v>942</v>
      </c>
      <c r="K36" s="1235"/>
      <c r="L36" s="1236"/>
      <c r="M36" s="1237"/>
      <c r="N36" s="1238"/>
      <c r="O36" s="1235"/>
      <c r="P36" s="1235"/>
      <c r="Q36" s="1235"/>
      <c r="R36" s="1239"/>
      <c r="S36" s="153"/>
      <c r="T36" s="1232">
        <v>2</v>
      </c>
      <c r="U36" s="1241">
        <f t="shared" si="25"/>
        <v>0</v>
      </c>
      <c r="V36" s="152">
        <f t="shared" si="20"/>
        <v>0</v>
      </c>
      <c r="W36" s="399">
        <v>0.3</v>
      </c>
      <c r="X36" s="393">
        <v>0.3</v>
      </c>
      <c r="Y36" s="453">
        <v>300000000</v>
      </c>
      <c r="Z36" s="1267" t="s">
        <v>892</v>
      </c>
      <c r="AA36" s="1248">
        <v>295340879</v>
      </c>
      <c r="AB36" s="208">
        <f t="shared" si="2"/>
        <v>0.98446959666666667</v>
      </c>
      <c r="AC36" s="1243">
        <v>294799603</v>
      </c>
      <c r="AD36" s="1240">
        <f t="shared" si="3"/>
        <v>0.98266534333333333</v>
      </c>
      <c r="AE36" s="1247">
        <f>+AA36-AC36</f>
        <v>541276</v>
      </c>
      <c r="AF36" s="1248"/>
      <c r="AG36" s="1248"/>
      <c r="AH36" s="506" t="e">
        <f t="shared" si="4"/>
        <v>#DIV/0!</v>
      </c>
      <c r="AI36" s="1268">
        <v>300000000</v>
      </c>
      <c r="AJ36" s="1255">
        <f t="shared" si="18"/>
        <v>295340879</v>
      </c>
      <c r="AK36" s="1246">
        <f t="shared" si="5"/>
        <v>0.98446959666666667</v>
      </c>
      <c r="AL36" s="1247"/>
      <c r="AM36" s="1248"/>
      <c r="AN36" s="1249" t="s">
        <v>302</v>
      </c>
      <c r="AO36" s="484" t="s">
        <v>896</v>
      </c>
      <c r="AP36" s="1250"/>
      <c r="AQ36" s="1251"/>
    </row>
    <row r="37" spans="1:43" ht="25.5" x14ac:dyDescent="0.25">
      <c r="A37" s="241" t="s">
        <v>457</v>
      </c>
      <c r="B37" s="140"/>
      <c r="C37" s="141"/>
      <c r="D37" s="187"/>
      <c r="E37" s="181"/>
      <c r="F37" s="141"/>
      <c r="G37" s="141"/>
      <c r="H37" s="157">
        <f>+(H38*30%)+(H39*35%)+(H40*23%)+(H43*12%)</f>
        <v>0.76999999999999991</v>
      </c>
      <c r="I37" s="142">
        <f>+SUMPRODUCT(I38:I44,X38:X44)</f>
        <v>0.79999999999999993</v>
      </c>
      <c r="J37" s="143"/>
      <c r="K37" s="143"/>
      <c r="L37" s="1269"/>
      <c r="M37" s="1269"/>
      <c r="N37" s="1269"/>
      <c r="O37" s="143"/>
      <c r="P37" s="143"/>
      <c r="Q37" s="143"/>
      <c r="R37" s="158"/>
      <c r="S37" s="1270"/>
      <c r="T37" s="1226"/>
      <c r="U37" s="201"/>
      <c r="V37" s="165">
        <f>+SUMPRODUCT(V38:V44,W38:W44)</f>
        <v>0.41666666666666663</v>
      </c>
      <c r="W37" s="142">
        <v>0.4</v>
      </c>
      <c r="X37" s="394">
        <v>0.4</v>
      </c>
      <c r="Y37" s="145">
        <f>SUM(Y38:Y44)</f>
        <v>1980000000</v>
      </c>
      <c r="Z37" s="145">
        <f>SUM(Z38:Z44)</f>
        <v>919742980</v>
      </c>
      <c r="AA37" s="145">
        <f>SUM(AA38:AA44)</f>
        <v>1950651505.2</v>
      </c>
      <c r="AB37" s="207">
        <f t="shared" si="2"/>
        <v>0.98517752787878787</v>
      </c>
      <c r="AC37" s="145">
        <f>SUM(AC38:AC44)</f>
        <v>1366882913</v>
      </c>
      <c r="AD37" s="1225">
        <f t="shared" si="3"/>
        <v>0.69034490555555561</v>
      </c>
      <c r="AE37" s="145">
        <f>SUM(AE38:AE44)</f>
        <v>583768592.20000005</v>
      </c>
      <c r="AF37" s="145">
        <f>SUM(AF38:AF44)</f>
        <v>828892980</v>
      </c>
      <c r="AG37" s="145">
        <f>SUM(AG38:AG44)</f>
        <v>828892980</v>
      </c>
      <c r="AH37" s="505">
        <f t="shared" si="4"/>
        <v>1</v>
      </c>
      <c r="AI37" s="145">
        <f>SUM(AI38:AI44)</f>
        <v>6370000000</v>
      </c>
      <c r="AJ37" s="145">
        <f>SUM(AJ38:AJ44)</f>
        <v>2870394485.1999998</v>
      </c>
      <c r="AK37" s="1271">
        <f t="shared" si="5"/>
        <v>0.45061137915227628</v>
      </c>
      <c r="AL37" s="1229"/>
      <c r="AM37" s="159"/>
      <c r="AN37" s="482"/>
      <c r="AO37" s="145"/>
      <c r="AP37" s="483"/>
      <c r="AQ37" s="101"/>
    </row>
    <row r="38" spans="1:43" ht="114.75" x14ac:dyDescent="0.25">
      <c r="A38" s="244" t="s">
        <v>535</v>
      </c>
      <c r="B38" s="328" t="s">
        <v>732</v>
      </c>
      <c r="C38" s="169">
        <v>1</v>
      </c>
      <c r="D38" s="167">
        <v>1</v>
      </c>
      <c r="E38" s="224">
        <v>0.93</v>
      </c>
      <c r="F38" s="169">
        <v>1</v>
      </c>
      <c r="G38" s="169">
        <v>7.0000000000000007E-2</v>
      </c>
      <c r="H38" s="167">
        <f>IF((E38+G38)/C38&gt;=100%,100%,(E38+G38)/C38)</f>
        <v>1</v>
      </c>
      <c r="I38" s="148">
        <f>IF(F38/D38&gt;=100%,100%,F38/D38)</f>
        <v>1</v>
      </c>
      <c r="J38" s="1235" t="s">
        <v>943</v>
      </c>
      <c r="K38" s="1235"/>
      <c r="L38" s="1236"/>
      <c r="M38" s="1237"/>
      <c r="N38" s="1238"/>
      <c r="O38" s="1235"/>
      <c r="P38" s="1235"/>
      <c r="Q38" s="1235"/>
      <c r="R38" s="1239"/>
      <c r="S38" s="156"/>
      <c r="T38" s="169">
        <v>1</v>
      </c>
      <c r="U38" s="1241">
        <f t="shared" ref="U38:U44" si="26">SUM(E38:F38)</f>
        <v>1.9300000000000002</v>
      </c>
      <c r="V38" s="152">
        <f t="shared" ref="V38:V44" si="27">IF(U38/T38&gt;=100%,100%,U38/T38)</f>
        <v>1</v>
      </c>
      <c r="W38" s="400">
        <v>0.1</v>
      </c>
      <c r="X38" s="395">
        <v>0.2</v>
      </c>
      <c r="Y38" s="454">
        <v>170000000</v>
      </c>
      <c r="Z38" s="274">
        <v>70850000</v>
      </c>
      <c r="AA38" s="1248">
        <v>170000000</v>
      </c>
      <c r="AB38" s="208">
        <f t="shared" si="2"/>
        <v>1</v>
      </c>
      <c r="AC38" s="1243">
        <v>166500000</v>
      </c>
      <c r="AD38" s="1240">
        <f t="shared" si="3"/>
        <v>0.97941176470588232</v>
      </c>
      <c r="AE38" s="1247">
        <f>+AA38-AC38</f>
        <v>3500000</v>
      </c>
      <c r="AF38" s="1248">
        <v>17500000</v>
      </c>
      <c r="AG38" s="1248">
        <v>17500000</v>
      </c>
      <c r="AH38" s="506">
        <f t="shared" si="4"/>
        <v>1</v>
      </c>
      <c r="AI38" s="1255">
        <v>550000000</v>
      </c>
      <c r="AJ38" s="1255">
        <f t="shared" si="18"/>
        <v>240850000</v>
      </c>
      <c r="AK38" s="1272">
        <f t="shared" si="5"/>
        <v>0.43790909090909091</v>
      </c>
      <c r="AL38" s="1247"/>
      <c r="AM38" s="1248"/>
      <c r="AN38" s="1249" t="s">
        <v>29</v>
      </c>
      <c r="AO38" s="1273" t="s">
        <v>894</v>
      </c>
      <c r="AP38" s="1250"/>
      <c r="AQ38" s="1251"/>
    </row>
    <row r="39" spans="1:43" ht="127.5" x14ac:dyDescent="0.25">
      <c r="A39" s="244" t="s">
        <v>536</v>
      </c>
      <c r="B39" s="329" t="s">
        <v>727</v>
      </c>
      <c r="C39" s="365">
        <v>1</v>
      </c>
      <c r="D39" s="299">
        <v>1</v>
      </c>
      <c r="E39" s="1234">
        <v>1</v>
      </c>
      <c r="F39" s="1232">
        <v>1</v>
      </c>
      <c r="G39" s="1232"/>
      <c r="H39" s="167">
        <f t="shared" ref="H39:H48" si="28">IF((E39+G39)/C39&gt;=100%,100%,(E39+G39)/C39)</f>
        <v>1</v>
      </c>
      <c r="I39" s="148">
        <f t="shared" ref="I39:I44" si="29">IF(F39/D39&gt;=100%,100%,F39/D39)</f>
        <v>1</v>
      </c>
      <c r="J39" s="1235" t="s">
        <v>944</v>
      </c>
      <c r="K39" s="1235"/>
      <c r="L39" s="1236"/>
      <c r="M39" s="1237"/>
      <c r="N39" s="1238"/>
      <c r="O39" s="1235"/>
      <c r="P39" s="1235"/>
      <c r="Q39" s="1235"/>
      <c r="R39" s="1239"/>
      <c r="S39" s="156"/>
      <c r="T39" s="1232">
        <v>4</v>
      </c>
      <c r="U39" s="1241">
        <f t="shared" si="26"/>
        <v>2</v>
      </c>
      <c r="V39" s="152">
        <f t="shared" si="27"/>
        <v>0.5</v>
      </c>
      <c r="W39" s="400">
        <v>0.3</v>
      </c>
      <c r="X39" s="395">
        <v>0.3</v>
      </c>
      <c r="Y39" s="454">
        <v>900000000</v>
      </c>
      <c r="Z39" s="274">
        <v>599224500</v>
      </c>
      <c r="AA39" s="1248">
        <v>883408011</v>
      </c>
      <c r="AB39" s="208">
        <f t="shared" si="2"/>
        <v>0.9815644566666667</v>
      </c>
      <c r="AC39" s="1243">
        <v>463150138</v>
      </c>
      <c r="AD39" s="1240">
        <f t="shared" si="3"/>
        <v>0.51461126444444449</v>
      </c>
      <c r="AE39" s="1247">
        <f>+AA39-AC39</f>
        <v>420257873</v>
      </c>
      <c r="AF39" s="1248">
        <v>599224500</v>
      </c>
      <c r="AG39" s="1248">
        <v>599224500</v>
      </c>
      <c r="AH39" s="506">
        <f t="shared" si="4"/>
        <v>1</v>
      </c>
      <c r="AI39" s="1255">
        <v>3600000000</v>
      </c>
      <c r="AJ39" s="1255">
        <f t="shared" si="18"/>
        <v>1482632511</v>
      </c>
      <c r="AK39" s="1272">
        <f t="shared" si="5"/>
        <v>0.41184236416666664</v>
      </c>
      <c r="AL39" s="1247"/>
      <c r="AM39" s="1248"/>
      <c r="AN39" s="1249" t="s">
        <v>302</v>
      </c>
      <c r="AO39" s="1869" t="s">
        <v>899</v>
      </c>
      <c r="AP39" s="1250"/>
      <c r="AQ39" s="1251"/>
    </row>
    <row r="40" spans="1:43" ht="140.25" x14ac:dyDescent="0.25">
      <c r="A40" s="244" t="s">
        <v>537</v>
      </c>
      <c r="B40" s="329" t="s">
        <v>728</v>
      </c>
      <c r="C40" s="365">
        <v>1</v>
      </c>
      <c r="D40" s="299">
        <v>1</v>
      </c>
      <c r="E40" s="1234">
        <v>0</v>
      </c>
      <c r="F40" s="1232">
        <v>0</v>
      </c>
      <c r="G40" s="1232"/>
      <c r="H40" s="167">
        <f t="shared" si="28"/>
        <v>0</v>
      </c>
      <c r="I40" s="148">
        <f t="shared" si="29"/>
        <v>0</v>
      </c>
      <c r="J40" s="1235" t="s">
        <v>945</v>
      </c>
      <c r="K40" s="1235"/>
      <c r="L40" s="1236"/>
      <c r="M40" s="1237"/>
      <c r="N40" s="1238"/>
      <c r="O40" s="1235"/>
      <c r="P40" s="1235"/>
      <c r="Q40" s="1235"/>
      <c r="R40" s="1239"/>
      <c r="S40" s="156"/>
      <c r="T40" s="1232">
        <v>4</v>
      </c>
      <c r="U40" s="1241">
        <f t="shared" si="26"/>
        <v>0</v>
      </c>
      <c r="V40" s="152">
        <f t="shared" si="27"/>
        <v>0</v>
      </c>
      <c r="W40" s="400">
        <v>0.2</v>
      </c>
      <c r="X40" s="395">
        <v>0.2</v>
      </c>
      <c r="Y40" s="454">
        <v>260000000</v>
      </c>
      <c r="Z40" s="447" t="s">
        <v>892</v>
      </c>
      <c r="AA40" s="1248">
        <v>254533137</v>
      </c>
      <c r="AB40" s="208">
        <f t="shared" si="2"/>
        <v>0.97897360384615384</v>
      </c>
      <c r="AC40" s="1243">
        <v>129012074</v>
      </c>
      <c r="AD40" s="1249">
        <f t="shared" si="3"/>
        <v>0.49620028461538462</v>
      </c>
      <c r="AE40" s="1247">
        <f>+AA40-AC40</f>
        <v>125521063</v>
      </c>
      <c r="AF40" s="1248"/>
      <c r="AG40" s="1248"/>
      <c r="AH40" s="506" t="e">
        <f t="shared" si="4"/>
        <v>#DIV/0!</v>
      </c>
      <c r="AI40" s="1255">
        <v>1200000000</v>
      </c>
      <c r="AJ40" s="1255">
        <f t="shared" si="18"/>
        <v>254533137</v>
      </c>
      <c r="AK40" s="1272">
        <f t="shared" si="5"/>
        <v>0.21211094750000001</v>
      </c>
      <c r="AL40" s="1247"/>
      <c r="AM40" s="1248"/>
      <c r="AN40" s="1249" t="s">
        <v>302</v>
      </c>
      <c r="AO40" s="1870"/>
      <c r="AP40" s="1250"/>
      <c r="AQ40" s="1251"/>
    </row>
    <row r="41" spans="1:43" ht="76.5" x14ac:dyDescent="0.25">
      <c r="A41" s="244" t="s">
        <v>538</v>
      </c>
      <c r="B41" s="330" t="s">
        <v>733</v>
      </c>
      <c r="C41" s="365">
        <v>0</v>
      </c>
      <c r="D41" s="299">
        <v>1</v>
      </c>
      <c r="E41" s="1234">
        <v>0</v>
      </c>
      <c r="F41" s="1232">
        <v>1</v>
      </c>
      <c r="G41" s="1232"/>
      <c r="H41" s="167" t="e">
        <f t="shared" si="28"/>
        <v>#DIV/0!</v>
      </c>
      <c r="I41" s="148">
        <f t="shared" si="29"/>
        <v>1</v>
      </c>
      <c r="J41" s="1235" t="s">
        <v>946</v>
      </c>
      <c r="K41" s="1235"/>
      <c r="L41" s="1236"/>
      <c r="M41" s="1237"/>
      <c r="N41" s="1238"/>
      <c r="O41" s="1235"/>
      <c r="P41" s="1235"/>
      <c r="Q41" s="1235"/>
      <c r="R41" s="1239"/>
      <c r="S41" s="156"/>
      <c r="T41" s="1274">
        <v>1</v>
      </c>
      <c r="U41" s="1241">
        <f t="shared" si="26"/>
        <v>1</v>
      </c>
      <c r="V41" s="152">
        <f t="shared" si="27"/>
        <v>1</v>
      </c>
      <c r="W41" s="400">
        <v>0.1</v>
      </c>
      <c r="X41" s="395">
        <v>0.1</v>
      </c>
      <c r="Y41" s="455">
        <v>490000000</v>
      </c>
      <c r="Z41" s="448" t="s">
        <v>892</v>
      </c>
      <c r="AA41" s="1248">
        <v>485294769</v>
      </c>
      <c r="AB41" s="208">
        <f t="shared" si="2"/>
        <v>0.99039748775510206</v>
      </c>
      <c r="AC41" s="1243">
        <v>468731314</v>
      </c>
      <c r="AD41" s="1240">
        <f t="shared" si="3"/>
        <v>0.95659451836734699</v>
      </c>
      <c r="AE41" s="1247">
        <f>+AA41-AC41</f>
        <v>16563455</v>
      </c>
      <c r="AF41" s="1248"/>
      <c r="AG41" s="1248"/>
      <c r="AH41" s="506" t="e">
        <f t="shared" si="4"/>
        <v>#DIV/0!</v>
      </c>
      <c r="AI41" s="1255">
        <v>0</v>
      </c>
      <c r="AJ41" s="1255">
        <f t="shared" si="18"/>
        <v>485294769</v>
      </c>
      <c r="AK41" s="1272" t="e">
        <f t="shared" si="5"/>
        <v>#DIV/0!</v>
      </c>
      <c r="AL41" s="1247"/>
      <c r="AM41" s="1248"/>
      <c r="AN41" s="1249" t="s">
        <v>22</v>
      </c>
      <c r="AO41" s="1879" t="s">
        <v>899</v>
      </c>
      <c r="AP41" s="1250"/>
      <c r="AQ41" s="1251"/>
    </row>
    <row r="42" spans="1:43" ht="114.75" x14ac:dyDescent="0.25">
      <c r="A42" s="244" t="s">
        <v>539</v>
      </c>
      <c r="B42" s="331" t="s">
        <v>729</v>
      </c>
      <c r="C42" s="365">
        <v>0</v>
      </c>
      <c r="D42" s="299">
        <v>1</v>
      </c>
      <c r="E42" s="1234">
        <v>0</v>
      </c>
      <c r="F42" s="1232">
        <v>1</v>
      </c>
      <c r="G42" s="1232"/>
      <c r="H42" s="167" t="e">
        <f t="shared" si="28"/>
        <v>#DIV/0!</v>
      </c>
      <c r="I42" s="148">
        <f t="shared" si="29"/>
        <v>1</v>
      </c>
      <c r="J42" s="1235" t="s">
        <v>947</v>
      </c>
      <c r="K42" s="1235"/>
      <c r="L42" s="1236"/>
      <c r="M42" s="1237"/>
      <c r="N42" s="1238"/>
      <c r="O42" s="1235"/>
      <c r="P42" s="1235"/>
      <c r="Q42" s="1235"/>
      <c r="R42" s="1239"/>
      <c r="S42" s="156"/>
      <c r="T42" s="1274">
        <v>3</v>
      </c>
      <c r="U42" s="1241">
        <f t="shared" si="26"/>
        <v>1</v>
      </c>
      <c r="V42" s="152">
        <f t="shared" si="27"/>
        <v>0.33333333333333331</v>
      </c>
      <c r="W42" s="400">
        <v>0.1</v>
      </c>
      <c r="X42" s="395">
        <v>0.1</v>
      </c>
      <c r="Y42" s="1275">
        <v>100000000</v>
      </c>
      <c r="Z42" s="276" t="s">
        <v>892</v>
      </c>
      <c r="AA42" s="1248">
        <v>98347412</v>
      </c>
      <c r="AB42" s="208">
        <f t="shared" si="2"/>
        <v>0.98347412000000001</v>
      </c>
      <c r="AC42" s="1243">
        <v>81178105</v>
      </c>
      <c r="AD42" s="1240">
        <f t="shared" si="3"/>
        <v>0.81178105</v>
      </c>
      <c r="AE42" s="1247">
        <f>+AA42-AC42</f>
        <v>17169307</v>
      </c>
      <c r="AF42" s="1248"/>
      <c r="AG42" s="1248"/>
      <c r="AH42" s="506" t="e">
        <f t="shared" si="4"/>
        <v>#DIV/0!</v>
      </c>
      <c r="AI42" s="1255">
        <v>200000000</v>
      </c>
      <c r="AJ42" s="1255">
        <f t="shared" si="18"/>
        <v>98347412</v>
      </c>
      <c r="AK42" s="1272">
        <f t="shared" si="5"/>
        <v>0.49173706</v>
      </c>
      <c r="AL42" s="1247"/>
      <c r="AM42" s="1248"/>
      <c r="AN42" s="1249" t="s">
        <v>302</v>
      </c>
      <c r="AO42" s="1874"/>
      <c r="AP42" s="1250"/>
      <c r="AQ42" s="1251"/>
    </row>
    <row r="43" spans="1:43" ht="51" x14ac:dyDescent="0.25">
      <c r="A43" s="244" t="s">
        <v>540</v>
      </c>
      <c r="B43" s="331" t="s">
        <v>730</v>
      </c>
      <c r="C43" s="365">
        <v>1</v>
      </c>
      <c r="D43" s="299">
        <v>0</v>
      </c>
      <c r="E43" s="1234">
        <v>0</v>
      </c>
      <c r="F43" s="1232"/>
      <c r="G43" s="1232">
        <v>1</v>
      </c>
      <c r="H43" s="167">
        <f t="shared" si="28"/>
        <v>1</v>
      </c>
      <c r="I43" s="148">
        <v>0</v>
      </c>
      <c r="J43" s="1235"/>
      <c r="K43" s="1235"/>
      <c r="L43" s="1236"/>
      <c r="M43" s="1237"/>
      <c r="N43" s="1238"/>
      <c r="O43" s="1235"/>
      <c r="P43" s="1235"/>
      <c r="Q43" s="1235"/>
      <c r="R43" s="1239"/>
      <c r="S43" s="1235"/>
      <c r="T43" s="1274">
        <v>1</v>
      </c>
      <c r="U43" s="1241">
        <f t="shared" si="26"/>
        <v>0</v>
      </c>
      <c r="V43" s="152">
        <f t="shared" si="27"/>
        <v>0</v>
      </c>
      <c r="W43" s="400">
        <v>0.1</v>
      </c>
      <c r="X43" s="395">
        <v>0</v>
      </c>
      <c r="Y43" s="454"/>
      <c r="Z43" s="274">
        <v>249668480</v>
      </c>
      <c r="AA43" s="1248"/>
      <c r="AB43" s="208" t="e">
        <f t="shared" si="2"/>
        <v>#DIV/0!</v>
      </c>
      <c r="AC43" s="1243"/>
      <c r="AD43" s="1249" t="e">
        <f t="shared" si="3"/>
        <v>#DIV/0!</v>
      </c>
      <c r="AE43" s="1247"/>
      <c r="AF43" s="1248">
        <v>212168480</v>
      </c>
      <c r="AG43" s="1248">
        <v>212168480</v>
      </c>
      <c r="AH43" s="506">
        <f t="shared" si="4"/>
        <v>1</v>
      </c>
      <c r="AI43" s="1255">
        <v>700000000</v>
      </c>
      <c r="AJ43" s="1255">
        <f t="shared" si="18"/>
        <v>249668480</v>
      </c>
      <c r="AK43" s="1272">
        <f t="shared" si="5"/>
        <v>0.35666925714285713</v>
      </c>
      <c r="AL43" s="1247"/>
      <c r="AM43" s="1248"/>
      <c r="AN43" s="1249" t="s">
        <v>302</v>
      </c>
      <c r="AO43" s="1870"/>
      <c r="AP43" s="1250"/>
      <c r="AQ43" s="1251"/>
    </row>
    <row r="44" spans="1:43" ht="89.25" x14ac:dyDescent="0.25">
      <c r="A44" s="244" t="s">
        <v>541</v>
      </c>
      <c r="B44" s="1276" t="s">
        <v>731</v>
      </c>
      <c r="C44" s="365">
        <v>0</v>
      </c>
      <c r="D44" s="299">
        <v>1</v>
      </c>
      <c r="E44" s="1234">
        <v>0</v>
      </c>
      <c r="F44" s="1232">
        <v>1</v>
      </c>
      <c r="G44" s="1232"/>
      <c r="H44" s="167" t="e">
        <f t="shared" si="28"/>
        <v>#DIV/0!</v>
      </c>
      <c r="I44" s="148">
        <f t="shared" si="29"/>
        <v>1</v>
      </c>
      <c r="J44" s="1235" t="s">
        <v>948</v>
      </c>
      <c r="K44" s="1235"/>
      <c r="L44" s="1236"/>
      <c r="M44" s="1277"/>
      <c r="N44" s="1238"/>
      <c r="O44" s="1235"/>
      <c r="P44" s="1235"/>
      <c r="Q44" s="1235"/>
      <c r="R44" s="1239"/>
      <c r="S44" s="1235"/>
      <c r="T44" s="1274">
        <v>3</v>
      </c>
      <c r="U44" s="1241">
        <f t="shared" si="26"/>
        <v>1</v>
      </c>
      <c r="V44" s="152">
        <f t="shared" si="27"/>
        <v>0.33333333333333331</v>
      </c>
      <c r="W44" s="400">
        <v>0.1</v>
      </c>
      <c r="X44" s="395">
        <v>0.1</v>
      </c>
      <c r="Y44" s="454">
        <v>60000000</v>
      </c>
      <c r="Z44" s="1278" t="s">
        <v>892</v>
      </c>
      <c r="AA44" s="1248">
        <v>59068176.200000003</v>
      </c>
      <c r="AB44" s="208">
        <f t="shared" si="2"/>
        <v>0.98446960333333333</v>
      </c>
      <c r="AC44" s="1243">
        <v>58311282</v>
      </c>
      <c r="AD44" s="1240">
        <f t="shared" si="3"/>
        <v>0.97185469999999996</v>
      </c>
      <c r="AE44" s="1247">
        <f>+AA44-AC44</f>
        <v>756894.20000000298</v>
      </c>
      <c r="AF44" s="1248"/>
      <c r="AG44" s="1248"/>
      <c r="AH44" s="506" t="e">
        <f t="shared" si="4"/>
        <v>#DIV/0!</v>
      </c>
      <c r="AI44" s="1255">
        <v>120000000</v>
      </c>
      <c r="AJ44" s="1255">
        <f t="shared" si="18"/>
        <v>59068176.200000003</v>
      </c>
      <c r="AK44" s="1272">
        <f t="shared" si="5"/>
        <v>0.49223480166666667</v>
      </c>
      <c r="AL44" s="1247"/>
      <c r="AM44" s="1248"/>
      <c r="AN44" s="1249" t="s">
        <v>302</v>
      </c>
      <c r="AO44" s="1273" t="s">
        <v>899</v>
      </c>
      <c r="AP44" s="1250"/>
      <c r="AQ44" s="1251"/>
    </row>
    <row r="45" spans="1:43" ht="25.5" x14ac:dyDescent="0.25">
      <c r="A45" s="241" t="s">
        <v>458</v>
      </c>
      <c r="B45" s="140"/>
      <c r="C45" s="141"/>
      <c r="D45" s="187"/>
      <c r="E45" s="181"/>
      <c r="F45" s="141"/>
      <c r="G45" s="141"/>
      <c r="H45" s="142">
        <f>+(H46*40%)+(H47*60%)</f>
        <v>1</v>
      </c>
      <c r="I45" s="142">
        <f>+SUMPRODUCT(I46:I48,X46:X48)</f>
        <v>1</v>
      </c>
      <c r="J45" s="143"/>
      <c r="K45" s="143"/>
      <c r="L45" s="1269"/>
      <c r="M45" s="1269"/>
      <c r="N45" s="1269"/>
      <c r="O45" s="143"/>
      <c r="P45" s="143"/>
      <c r="Q45" s="143"/>
      <c r="R45" s="158"/>
      <c r="S45" s="1270"/>
      <c r="T45" s="1226"/>
      <c r="U45" s="201"/>
      <c r="V45" s="165">
        <f>+SUMPRODUCT(V46:V48,W46:W48)</f>
        <v>0.5</v>
      </c>
      <c r="W45" s="142">
        <v>0.5</v>
      </c>
      <c r="X45" s="394">
        <v>0.5</v>
      </c>
      <c r="Y45" s="145">
        <f>SUM(Y46:Y48)</f>
        <v>16869452866</v>
      </c>
      <c r="Z45" s="145">
        <f>SUM(Z46:Z48)</f>
        <v>576557090</v>
      </c>
      <c r="AA45" s="145">
        <f>SUM(AA46:AA48)</f>
        <v>16535533312</v>
      </c>
      <c r="AB45" s="207">
        <f t="shared" si="2"/>
        <v>0.98020566780366614</v>
      </c>
      <c r="AC45" s="145">
        <f t="shared" ref="AC45:AJ45" si="30">SUM(AC46:AC48)</f>
        <v>6910273651</v>
      </c>
      <c r="AD45" s="482">
        <f t="shared" si="3"/>
        <v>0.40963235179532703</v>
      </c>
      <c r="AE45" s="145">
        <f t="shared" si="30"/>
        <v>9625259661</v>
      </c>
      <c r="AF45" s="145">
        <f t="shared" si="30"/>
        <v>525257090</v>
      </c>
      <c r="AG45" s="145">
        <f t="shared" si="30"/>
        <v>40350000</v>
      </c>
      <c r="AH45" s="1279">
        <f t="shared" si="30"/>
        <v>1</v>
      </c>
      <c r="AI45" s="145">
        <f t="shared" si="30"/>
        <v>21680000000</v>
      </c>
      <c r="AJ45" s="145">
        <f t="shared" si="30"/>
        <v>17112090402</v>
      </c>
      <c r="AK45" s="1280">
        <f t="shared" si="5"/>
        <v>0.78930306282287821</v>
      </c>
      <c r="AL45" s="1229"/>
      <c r="AM45" s="159"/>
      <c r="AN45" s="482"/>
      <c r="AO45" s="145"/>
      <c r="AP45" s="483"/>
      <c r="AQ45" s="101"/>
    </row>
    <row r="46" spans="1:43" ht="153" x14ac:dyDescent="0.25">
      <c r="A46" s="243" t="s">
        <v>542</v>
      </c>
      <c r="B46" s="1231" t="s">
        <v>734</v>
      </c>
      <c r="C46" s="1281">
        <v>1</v>
      </c>
      <c r="D46" s="1282">
        <v>1</v>
      </c>
      <c r="E46" s="1234">
        <v>1</v>
      </c>
      <c r="F46" s="1232">
        <v>1</v>
      </c>
      <c r="G46" s="1232"/>
      <c r="H46" s="167">
        <f t="shared" si="28"/>
        <v>1</v>
      </c>
      <c r="I46" s="148">
        <f t="shared" ref="I46:I48" si="31">IF(F46/D46&gt;=100%,100%,F46/D46)</f>
        <v>1</v>
      </c>
      <c r="J46" s="1235" t="s">
        <v>949</v>
      </c>
      <c r="K46" s="1235"/>
      <c r="L46" s="1236"/>
      <c r="M46" s="1237"/>
      <c r="N46" s="1238"/>
      <c r="O46" s="1235"/>
      <c r="P46" s="1235"/>
      <c r="Q46" s="1235"/>
      <c r="R46" s="1239"/>
      <c r="S46" s="156"/>
      <c r="T46" s="1274">
        <v>4</v>
      </c>
      <c r="U46" s="1241">
        <f t="shared" ref="U46:U55" si="32">SUM(E46:F46)</f>
        <v>2</v>
      </c>
      <c r="V46" s="152">
        <f>IF(U46/T46&gt;=100%,100%,U46/T46)</f>
        <v>0.5</v>
      </c>
      <c r="W46" s="401">
        <v>0.2</v>
      </c>
      <c r="X46" s="395">
        <v>0.2</v>
      </c>
      <c r="Y46" s="1252">
        <v>120000000</v>
      </c>
      <c r="Z46" s="274">
        <v>91650000</v>
      </c>
      <c r="AA46" s="1248">
        <v>120000000</v>
      </c>
      <c r="AB46" s="208">
        <f t="shared" si="2"/>
        <v>1</v>
      </c>
      <c r="AC46" s="1243">
        <v>120000000</v>
      </c>
      <c r="AD46" s="1240">
        <f t="shared" si="3"/>
        <v>1</v>
      </c>
      <c r="AE46" s="1247">
        <f>+AA46-AC46</f>
        <v>0</v>
      </c>
      <c r="AF46" s="1248">
        <v>40350000</v>
      </c>
      <c r="AG46" s="1248">
        <v>40350000</v>
      </c>
      <c r="AH46" s="506">
        <f t="shared" si="4"/>
        <v>1</v>
      </c>
      <c r="AI46" s="1268">
        <v>480000000</v>
      </c>
      <c r="AJ46" s="1268">
        <f t="shared" si="18"/>
        <v>211650000</v>
      </c>
      <c r="AK46" s="1272">
        <f t="shared" si="5"/>
        <v>0.44093749999999998</v>
      </c>
      <c r="AL46" s="1247"/>
      <c r="AM46" s="1248"/>
      <c r="AN46" s="1249" t="s">
        <v>5</v>
      </c>
      <c r="AO46" s="1283" t="s">
        <v>899</v>
      </c>
      <c r="AP46" s="1250"/>
      <c r="AQ46" s="1251"/>
    </row>
    <row r="47" spans="1:43" ht="280.5" x14ac:dyDescent="0.25">
      <c r="A47" s="245" t="s">
        <v>543</v>
      </c>
      <c r="B47" s="1231" t="s">
        <v>735</v>
      </c>
      <c r="C47" s="1281">
        <v>1</v>
      </c>
      <c r="D47" s="1282">
        <v>2</v>
      </c>
      <c r="E47" s="1234">
        <v>0</v>
      </c>
      <c r="F47" s="1232">
        <v>2</v>
      </c>
      <c r="G47" s="1232">
        <v>1</v>
      </c>
      <c r="H47" s="167">
        <f t="shared" si="28"/>
        <v>1</v>
      </c>
      <c r="I47" s="148">
        <f t="shared" si="31"/>
        <v>1</v>
      </c>
      <c r="J47" s="1235" t="s">
        <v>950</v>
      </c>
      <c r="K47" s="1235"/>
      <c r="L47" s="1236"/>
      <c r="M47" s="1237"/>
      <c r="N47" s="1238"/>
      <c r="O47" s="1235"/>
      <c r="P47" s="1235"/>
      <c r="Q47" s="1235"/>
      <c r="R47" s="1239"/>
      <c r="S47" s="156"/>
      <c r="T47" s="1274">
        <v>4</v>
      </c>
      <c r="U47" s="1241">
        <f t="shared" si="32"/>
        <v>2</v>
      </c>
      <c r="V47" s="152">
        <f t="shared" ref="V47:V48" si="33">IF(U47/T47&gt;=100%,100%,U47/T47)</f>
        <v>0.5</v>
      </c>
      <c r="W47" s="402">
        <v>0.4</v>
      </c>
      <c r="X47" s="395">
        <v>0.4</v>
      </c>
      <c r="Y47" s="428">
        <f>16749452866/2</f>
        <v>8374726433</v>
      </c>
      <c r="Z47" s="449">
        <v>484907090</v>
      </c>
      <c r="AA47" s="1248">
        <f>16415533312/2</f>
        <v>8207766656</v>
      </c>
      <c r="AB47" s="208">
        <f t="shared" si="2"/>
        <v>0.9800638530302187</v>
      </c>
      <c r="AC47" s="1248">
        <f>6790273651/2</f>
        <v>3395136825.5</v>
      </c>
      <c r="AD47" s="1284">
        <f t="shared" si="3"/>
        <v>0.40540271406618256</v>
      </c>
      <c r="AE47" s="1247">
        <f>+AA47-AC47</f>
        <v>4812629830.5</v>
      </c>
      <c r="AF47" s="1248">
        <f>484907090/2</f>
        <v>242453545</v>
      </c>
      <c r="AG47" s="1248">
        <v>0</v>
      </c>
      <c r="AH47" s="506">
        <f t="shared" si="4"/>
        <v>0</v>
      </c>
      <c r="AI47" s="1255">
        <v>21200000000</v>
      </c>
      <c r="AJ47" s="1268">
        <f t="shared" si="18"/>
        <v>8692673746</v>
      </c>
      <c r="AK47" s="1272">
        <f t="shared" si="5"/>
        <v>0.41003178047169814</v>
      </c>
      <c r="AL47" s="1247"/>
      <c r="AM47" s="1248"/>
      <c r="AN47" s="1249" t="s">
        <v>5</v>
      </c>
      <c r="AO47" s="1875" t="s">
        <v>900</v>
      </c>
      <c r="AP47" s="1250"/>
      <c r="AQ47" s="1251"/>
    </row>
    <row r="48" spans="1:43" ht="114.75" x14ac:dyDescent="0.25">
      <c r="A48" s="1285" t="s">
        <v>544</v>
      </c>
      <c r="B48" s="1231" t="s">
        <v>1485</v>
      </c>
      <c r="C48" s="1281">
        <v>0</v>
      </c>
      <c r="D48" s="1282">
        <v>2</v>
      </c>
      <c r="E48" s="1234">
        <v>0</v>
      </c>
      <c r="F48" s="1232">
        <v>2</v>
      </c>
      <c r="G48" s="1232"/>
      <c r="H48" s="167" t="e">
        <f t="shared" si="28"/>
        <v>#DIV/0!</v>
      </c>
      <c r="I48" s="148">
        <f t="shared" si="31"/>
        <v>1</v>
      </c>
      <c r="J48" s="1235" t="s">
        <v>951</v>
      </c>
      <c r="K48" s="1235"/>
      <c r="L48" s="1236"/>
      <c r="M48" s="1237"/>
      <c r="N48" s="1238"/>
      <c r="O48" s="1235"/>
      <c r="P48" s="1235"/>
      <c r="Q48" s="1235"/>
      <c r="R48" s="1239"/>
      <c r="S48" s="1235"/>
      <c r="T48" s="1274">
        <v>4</v>
      </c>
      <c r="U48" s="1241">
        <f t="shared" si="32"/>
        <v>2</v>
      </c>
      <c r="V48" s="152">
        <f t="shared" si="33"/>
        <v>0.5</v>
      </c>
      <c r="W48" s="403">
        <v>0.4</v>
      </c>
      <c r="X48" s="395">
        <v>0.4</v>
      </c>
      <c r="Y48" s="428">
        <f>16749452866/2</f>
        <v>8374726433</v>
      </c>
      <c r="Z48" s="1286"/>
      <c r="AA48" s="1248">
        <f>16415533312/2</f>
        <v>8207766656</v>
      </c>
      <c r="AB48" s="208">
        <f t="shared" si="2"/>
        <v>0.9800638530302187</v>
      </c>
      <c r="AC48" s="1248">
        <f>6790273651/2</f>
        <v>3395136825.5</v>
      </c>
      <c r="AD48" s="1284">
        <f t="shared" si="3"/>
        <v>0.40540271406618256</v>
      </c>
      <c r="AE48" s="1247">
        <f>+AA48-AC48</f>
        <v>4812629830.5</v>
      </c>
      <c r="AF48" s="1248">
        <f>484907090/2</f>
        <v>242453545</v>
      </c>
      <c r="AG48" s="1248">
        <v>0</v>
      </c>
      <c r="AH48" s="506">
        <f t="shared" si="4"/>
        <v>0</v>
      </c>
      <c r="AI48" s="1255">
        <v>0</v>
      </c>
      <c r="AJ48" s="1268">
        <f t="shared" si="18"/>
        <v>8207766656</v>
      </c>
      <c r="AK48" s="1272" t="e">
        <f t="shared" si="5"/>
        <v>#DIV/0!</v>
      </c>
      <c r="AL48" s="1247"/>
      <c r="AM48" s="1248"/>
      <c r="AN48" s="1249" t="s">
        <v>22</v>
      </c>
      <c r="AO48" s="1870"/>
      <c r="AP48" s="1250"/>
      <c r="AQ48" s="1251"/>
    </row>
    <row r="49" spans="1:43" ht="25.5" x14ac:dyDescent="0.25">
      <c r="A49" s="1201" t="s">
        <v>428</v>
      </c>
      <c r="B49" s="1220"/>
      <c r="C49" s="1257"/>
      <c r="D49" s="1258"/>
      <c r="E49" s="1259"/>
      <c r="F49" s="1257"/>
      <c r="G49" s="1257"/>
      <c r="H49" s="1260">
        <f>+(H50*W50)</f>
        <v>1</v>
      </c>
      <c r="I49" s="1260">
        <f>+(I50*X50)</f>
        <v>0.94599999999999995</v>
      </c>
      <c r="J49" s="1221"/>
      <c r="K49" s="1221"/>
      <c r="L49" s="1261"/>
      <c r="M49" s="1261"/>
      <c r="N49" s="1261"/>
      <c r="O49" s="1221"/>
      <c r="P49" s="1221"/>
      <c r="Q49" s="1221"/>
      <c r="R49" s="1262"/>
      <c r="S49" s="1263"/>
      <c r="T49" s="1264"/>
      <c r="U49" s="1265"/>
      <c r="V49" s="1266">
        <f>+(V50*W50)</f>
        <v>0.31595477386934673</v>
      </c>
      <c r="W49" s="1213">
        <v>0.1</v>
      </c>
      <c r="X49" s="1214">
        <v>0.1</v>
      </c>
      <c r="Y49" s="1215">
        <f>+Y50</f>
        <v>34346706847</v>
      </c>
      <c r="Z49" s="1215">
        <f>+Z50</f>
        <v>38574898240.900002</v>
      </c>
      <c r="AA49" s="1215">
        <f>+AA50</f>
        <v>32549790015.5</v>
      </c>
      <c r="AB49" s="1216">
        <f t="shared" si="2"/>
        <v>0.94768299506836273</v>
      </c>
      <c r="AC49" s="1215">
        <f>+AC50</f>
        <v>32549790015.5</v>
      </c>
      <c r="AD49" s="1218">
        <f t="shared" si="3"/>
        <v>0.94768299506836273</v>
      </c>
      <c r="AE49" s="1215">
        <f>+AE50</f>
        <v>0</v>
      </c>
      <c r="AF49" s="1215">
        <f>+AF50</f>
        <v>7503735968</v>
      </c>
      <c r="AG49" s="1215">
        <f>+AG50</f>
        <v>6580131258.8800001</v>
      </c>
      <c r="AH49" s="1219">
        <f t="shared" si="4"/>
        <v>0.8769140181559224</v>
      </c>
      <c r="AI49" s="1215">
        <f t="shared" ref="AI49:AJ49" si="34">+AI50</f>
        <v>147218908891.20001</v>
      </c>
      <c r="AJ49" s="1215">
        <f t="shared" si="34"/>
        <v>71124688256.399994</v>
      </c>
      <c r="AK49" s="1213">
        <f t="shared" si="5"/>
        <v>0.48312196301470794</v>
      </c>
      <c r="AL49" s="1220"/>
      <c r="AM49" s="1221" t="s">
        <v>297</v>
      </c>
      <c r="AN49" s="1222"/>
      <c r="AO49" s="1215"/>
      <c r="AP49" s="1223"/>
      <c r="AQ49" s="1224"/>
    </row>
    <row r="50" spans="1:43" ht="38.25" x14ac:dyDescent="0.25">
      <c r="A50" s="241" t="s">
        <v>459</v>
      </c>
      <c r="B50" s="140"/>
      <c r="C50" s="141"/>
      <c r="D50" s="187"/>
      <c r="E50" s="181"/>
      <c r="F50" s="141"/>
      <c r="G50" s="141"/>
      <c r="H50" s="142">
        <f>+(H52*35%)+(H53*35%)+(H54*15%)+(H55*15%)</f>
        <v>1</v>
      </c>
      <c r="I50" s="142">
        <f>+SUMPRODUCT(I51:I55,X51:X55)</f>
        <v>0.94599999999999995</v>
      </c>
      <c r="J50" s="143"/>
      <c r="K50" s="143"/>
      <c r="L50" s="1269"/>
      <c r="M50" s="1269"/>
      <c r="N50" s="1269"/>
      <c r="O50" s="143"/>
      <c r="P50" s="143"/>
      <c r="Q50" s="143"/>
      <c r="R50" s="158"/>
      <c r="S50" s="1270"/>
      <c r="T50" s="1226"/>
      <c r="U50" s="201"/>
      <c r="V50" s="165">
        <f>+SUMPRODUCT(V51:V55,W51:W55)</f>
        <v>0.31595477386934673</v>
      </c>
      <c r="W50" s="142">
        <v>1</v>
      </c>
      <c r="X50" s="394">
        <v>1</v>
      </c>
      <c r="Y50" s="145">
        <f>SUM(Y51:Y55)</f>
        <v>34346706847</v>
      </c>
      <c r="Z50" s="145">
        <f>SUM(Z51:Z55)</f>
        <v>38574898240.900002</v>
      </c>
      <c r="AA50" s="145">
        <f>SUM(AA51:AA55)</f>
        <v>32549790015.5</v>
      </c>
      <c r="AB50" s="207">
        <f t="shared" si="2"/>
        <v>0.94768299506836273</v>
      </c>
      <c r="AC50" s="145">
        <f>SUM(AC51:AC55)</f>
        <v>32549790015.5</v>
      </c>
      <c r="AD50" s="1225">
        <f t="shared" si="3"/>
        <v>0.94768299506836273</v>
      </c>
      <c r="AE50" s="145">
        <f>SUM(AE51:AE55)</f>
        <v>0</v>
      </c>
      <c r="AF50" s="145">
        <f>SUM(AF51:AF55)</f>
        <v>7503735968</v>
      </c>
      <c r="AG50" s="145">
        <f>SUM(AG51:AG55)</f>
        <v>6580131258.8800001</v>
      </c>
      <c r="AH50" s="505">
        <f t="shared" si="4"/>
        <v>0.8769140181559224</v>
      </c>
      <c r="AI50" s="145">
        <f t="shared" ref="AI50:AJ50" si="35">SUM(AI51:AI55)</f>
        <v>147218908891.20001</v>
      </c>
      <c r="AJ50" s="145">
        <f t="shared" si="35"/>
        <v>71124688256.399994</v>
      </c>
      <c r="AK50" s="1271">
        <f t="shared" si="5"/>
        <v>0.48312196301470794</v>
      </c>
      <c r="AL50" s="1229"/>
      <c r="AM50" s="159"/>
      <c r="AN50" s="482"/>
      <c r="AO50" s="145"/>
      <c r="AP50" s="483"/>
      <c r="AQ50" s="101"/>
    </row>
    <row r="51" spans="1:43" ht="153" x14ac:dyDescent="0.25">
      <c r="A51" s="242" t="s">
        <v>545</v>
      </c>
      <c r="B51" s="1231" t="s">
        <v>736</v>
      </c>
      <c r="C51" s="367">
        <v>0</v>
      </c>
      <c r="D51" s="300">
        <v>0</v>
      </c>
      <c r="E51" s="1234">
        <v>0</v>
      </c>
      <c r="F51" s="1232"/>
      <c r="G51" s="1232"/>
      <c r="H51" s="167" t="e">
        <f t="shared" ref="H51:H55" si="36">IF((E51+G51)/C51&gt;=100%,100%,(E51+G51)/C51)</f>
        <v>#DIV/0!</v>
      </c>
      <c r="I51" s="148">
        <v>0</v>
      </c>
      <c r="K51" s="1235"/>
      <c r="L51" s="1236"/>
      <c r="M51" s="1237"/>
      <c r="N51" s="1238"/>
      <c r="O51" s="1235"/>
      <c r="P51" s="1235"/>
      <c r="Q51" s="1235"/>
      <c r="R51" s="1239"/>
      <c r="S51" s="1235"/>
      <c r="T51" s="1274">
        <v>1</v>
      </c>
      <c r="U51" s="1241">
        <f t="shared" si="32"/>
        <v>0</v>
      </c>
      <c r="V51" s="152">
        <f t="shared" ref="V51:V55" si="37">IF(U51/T51&gt;=100%,100%,U51/T51)</f>
        <v>0</v>
      </c>
      <c r="W51" s="399">
        <v>0.2</v>
      </c>
      <c r="X51" s="395">
        <v>0</v>
      </c>
      <c r="Y51" s="452" t="s">
        <v>892</v>
      </c>
      <c r="Z51" s="274">
        <v>0</v>
      </c>
      <c r="AA51" s="1248"/>
      <c r="AB51" s="208" t="e">
        <f t="shared" si="2"/>
        <v>#DIV/0!</v>
      </c>
      <c r="AC51" s="1243"/>
      <c r="AD51" s="1249" t="e">
        <f t="shared" si="3"/>
        <v>#DIV/0!</v>
      </c>
      <c r="AE51" s="1247"/>
      <c r="AF51" s="1248"/>
      <c r="AG51" s="1248"/>
      <c r="AH51" s="506" t="e">
        <f t="shared" si="4"/>
        <v>#DIV/0!</v>
      </c>
      <c r="AI51" s="1255">
        <v>600000000</v>
      </c>
      <c r="AJ51" s="1255">
        <f t="shared" si="18"/>
        <v>0</v>
      </c>
      <c r="AK51" s="1272">
        <f t="shared" si="5"/>
        <v>0</v>
      </c>
      <c r="AL51" s="1247"/>
      <c r="AM51" s="1248"/>
      <c r="AN51" s="1249" t="s">
        <v>22</v>
      </c>
      <c r="AO51" s="485" t="s">
        <v>901</v>
      </c>
      <c r="AP51" s="1250"/>
      <c r="AQ51" s="1251"/>
    </row>
    <row r="52" spans="1:43" ht="216.75" x14ac:dyDescent="0.25">
      <c r="A52" s="242" t="s">
        <v>546</v>
      </c>
      <c r="B52" s="1231" t="s">
        <v>737</v>
      </c>
      <c r="C52" s="367">
        <v>1</v>
      </c>
      <c r="D52" s="301">
        <v>0</v>
      </c>
      <c r="E52" s="1234">
        <v>0</v>
      </c>
      <c r="F52" s="1232"/>
      <c r="G52" s="1232">
        <v>1</v>
      </c>
      <c r="H52" s="167">
        <f t="shared" si="36"/>
        <v>1</v>
      </c>
      <c r="I52" s="148">
        <v>0</v>
      </c>
      <c r="J52" s="1235"/>
      <c r="K52" s="1235"/>
      <c r="L52" s="1236"/>
      <c r="M52" s="1237"/>
      <c r="N52" s="1238"/>
      <c r="O52" s="1235"/>
      <c r="P52" s="1235"/>
      <c r="Q52" s="1235"/>
      <c r="R52" s="1239"/>
      <c r="S52" s="1235"/>
      <c r="T52" s="1274">
        <v>4</v>
      </c>
      <c r="U52" s="1241">
        <f t="shared" si="32"/>
        <v>0</v>
      </c>
      <c r="V52" s="152">
        <f t="shared" si="37"/>
        <v>0</v>
      </c>
      <c r="W52" s="404">
        <v>0.3</v>
      </c>
      <c r="X52" s="395">
        <v>0</v>
      </c>
      <c r="Y52" s="452"/>
      <c r="Z52" s="274">
        <v>2000000000</v>
      </c>
      <c r="AA52" s="1248"/>
      <c r="AB52" s="208" t="e">
        <f t="shared" si="2"/>
        <v>#DIV/0!</v>
      </c>
      <c r="AC52" s="1243"/>
      <c r="AD52" s="1249" t="e">
        <f t="shared" si="3"/>
        <v>#DIV/0!</v>
      </c>
      <c r="AE52" s="1247"/>
      <c r="AF52" s="1248">
        <v>1998500000</v>
      </c>
      <c r="AG52" s="1248">
        <v>1101694661.6700001</v>
      </c>
      <c r="AH52" s="506">
        <f t="shared" si="4"/>
        <v>0.55126077641731297</v>
      </c>
      <c r="AI52" s="1255">
        <v>7200000000</v>
      </c>
      <c r="AJ52" s="1255">
        <f t="shared" si="18"/>
        <v>2000000000</v>
      </c>
      <c r="AK52" s="1272">
        <f t="shared" si="5"/>
        <v>0.27777777777777779</v>
      </c>
      <c r="AL52" s="1247"/>
      <c r="AM52" s="1248"/>
      <c r="AN52" s="1249" t="s">
        <v>22</v>
      </c>
      <c r="AO52" s="485" t="s">
        <v>902</v>
      </c>
      <c r="AP52" s="1250"/>
      <c r="AQ52" s="1251"/>
    </row>
    <row r="53" spans="1:43" ht="216.75" x14ac:dyDescent="0.25">
      <c r="A53" s="242" t="s">
        <v>547</v>
      </c>
      <c r="B53" s="1231" t="s">
        <v>738</v>
      </c>
      <c r="C53" s="368">
        <v>300</v>
      </c>
      <c r="D53" s="300">
        <v>300</v>
      </c>
      <c r="E53" s="295">
        <v>300</v>
      </c>
      <c r="F53" s="1232">
        <v>273</v>
      </c>
      <c r="G53" s="1232"/>
      <c r="H53" s="167">
        <f t="shared" si="36"/>
        <v>1</v>
      </c>
      <c r="I53" s="148">
        <f t="shared" ref="I53:I55" si="38">IF(F53/D53&gt;=100%,100%,F53/D53)</f>
        <v>0.91</v>
      </c>
      <c r="J53" s="1235" t="s">
        <v>952</v>
      </c>
      <c r="K53" s="1235"/>
      <c r="L53" s="1236"/>
      <c r="M53" s="1237"/>
      <c r="N53" s="1238"/>
      <c r="O53" s="1235"/>
      <c r="P53" s="1235"/>
      <c r="Q53" s="1235"/>
      <c r="R53" s="1239"/>
      <c r="S53" s="1235"/>
      <c r="T53" s="1274">
        <v>796</v>
      </c>
      <c r="U53" s="1241">
        <f t="shared" si="32"/>
        <v>573</v>
      </c>
      <c r="V53" s="152">
        <f t="shared" si="37"/>
        <v>0.71984924623115576</v>
      </c>
      <c r="W53" s="399">
        <v>0.3</v>
      </c>
      <c r="X53" s="395">
        <v>0.6</v>
      </c>
      <c r="Y53" s="452">
        <v>5222458000</v>
      </c>
      <c r="Z53" s="274">
        <v>5376651240</v>
      </c>
      <c r="AA53" s="1248">
        <v>5222458000</v>
      </c>
      <c r="AB53" s="208">
        <f t="shared" si="2"/>
        <v>1</v>
      </c>
      <c r="AC53" s="1243">
        <v>5222458000</v>
      </c>
      <c r="AD53" s="1240">
        <f t="shared" si="3"/>
        <v>1</v>
      </c>
      <c r="AE53" s="1247">
        <f>+AA53-AC53</f>
        <v>0</v>
      </c>
      <c r="AF53" s="1248"/>
      <c r="AG53" s="1248"/>
      <c r="AH53" s="506" t="e">
        <f t="shared" si="4"/>
        <v>#DIV/0!</v>
      </c>
      <c r="AI53" s="1255">
        <v>20419852480</v>
      </c>
      <c r="AJ53" s="1255">
        <f t="shared" si="18"/>
        <v>10599109240</v>
      </c>
      <c r="AK53" s="1287">
        <f t="shared" si="5"/>
        <v>0.51905905051866463</v>
      </c>
      <c r="AL53" s="1247"/>
      <c r="AM53" s="1248"/>
      <c r="AN53" s="1249" t="s">
        <v>22</v>
      </c>
      <c r="AO53" s="485" t="s">
        <v>902</v>
      </c>
      <c r="AP53" s="1250"/>
      <c r="AQ53" s="1251"/>
    </row>
    <row r="54" spans="1:43" ht="102" x14ac:dyDescent="0.25">
      <c r="A54" s="242" t="s">
        <v>548</v>
      </c>
      <c r="B54" s="1231" t="s">
        <v>739</v>
      </c>
      <c r="C54" s="367">
        <v>1</v>
      </c>
      <c r="D54" s="300">
        <v>1</v>
      </c>
      <c r="E54" s="1234">
        <v>1</v>
      </c>
      <c r="F54" s="1232">
        <v>1</v>
      </c>
      <c r="G54" s="1232"/>
      <c r="H54" s="167">
        <f t="shared" si="36"/>
        <v>1</v>
      </c>
      <c r="I54" s="148">
        <f t="shared" si="38"/>
        <v>1</v>
      </c>
      <c r="J54" s="1235" t="s">
        <v>953</v>
      </c>
      <c r="K54" s="1235"/>
      <c r="L54" s="1236"/>
      <c r="M54" s="1277"/>
      <c r="N54" s="1238"/>
      <c r="O54" s="1235"/>
      <c r="P54" s="1235"/>
      <c r="Q54" s="1235"/>
      <c r="R54" s="1239"/>
      <c r="S54" s="156"/>
      <c r="T54" s="1274">
        <v>4</v>
      </c>
      <c r="U54" s="1241">
        <f t="shared" si="32"/>
        <v>2</v>
      </c>
      <c r="V54" s="152">
        <f t="shared" si="37"/>
        <v>0.5</v>
      </c>
      <c r="W54" s="404">
        <v>0.1</v>
      </c>
      <c r="X54" s="395">
        <v>0.2</v>
      </c>
      <c r="Y54" s="456">
        <v>0</v>
      </c>
      <c r="Z54" s="274">
        <v>0</v>
      </c>
      <c r="AA54" s="1248"/>
      <c r="AB54" s="208" t="e">
        <f t="shared" si="2"/>
        <v>#DIV/0!</v>
      </c>
      <c r="AC54" s="1243"/>
      <c r="AD54" s="1240" t="e">
        <f t="shared" si="3"/>
        <v>#DIV/0!</v>
      </c>
      <c r="AE54" s="1247"/>
      <c r="AF54" s="1248"/>
      <c r="AG54" s="1248"/>
      <c r="AH54" s="506" t="e">
        <f t="shared" si="4"/>
        <v>#DIV/0!</v>
      </c>
      <c r="AI54" s="1255">
        <v>53909327.199996941</v>
      </c>
      <c r="AJ54" s="1255">
        <f t="shared" si="18"/>
        <v>0</v>
      </c>
      <c r="AK54" s="1246">
        <f t="shared" si="5"/>
        <v>0</v>
      </c>
      <c r="AL54" s="1247"/>
      <c r="AM54" s="1248"/>
      <c r="AN54" s="1249" t="s">
        <v>22</v>
      </c>
      <c r="AO54" s="1876" t="s">
        <v>902</v>
      </c>
      <c r="AP54" s="1250"/>
      <c r="AQ54" s="1251"/>
    </row>
    <row r="55" spans="1:43" ht="77.25" thickBot="1" x14ac:dyDescent="0.3">
      <c r="A55" s="246" t="s">
        <v>549</v>
      </c>
      <c r="B55" s="1288" t="s">
        <v>740</v>
      </c>
      <c r="C55" s="367">
        <v>1</v>
      </c>
      <c r="D55" s="300">
        <v>1</v>
      </c>
      <c r="E55" s="1234">
        <v>1</v>
      </c>
      <c r="F55" s="1232">
        <v>1</v>
      </c>
      <c r="G55" s="1232"/>
      <c r="H55" s="167">
        <f t="shared" si="36"/>
        <v>1</v>
      </c>
      <c r="I55" s="148">
        <f t="shared" si="38"/>
        <v>1</v>
      </c>
      <c r="J55" s="1235" t="s">
        <v>954</v>
      </c>
      <c r="K55" s="1235"/>
      <c r="L55" s="1236"/>
      <c r="M55" s="1237"/>
      <c r="N55" s="1238"/>
      <c r="O55" s="1235"/>
      <c r="P55" s="1235"/>
      <c r="Q55" s="1235"/>
      <c r="R55" s="1239"/>
      <c r="S55" s="156"/>
      <c r="T55" s="1274">
        <v>4</v>
      </c>
      <c r="U55" s="1241">
        <f t="shared" si="32"/>
        <v>2</v>
      </c>
      <c r="V55" s="152">
        <f t="shared" si="37"/>
        <v>0.5</v>
      </c>
      <c r="W55" s="404">
        <v>0.1</v>
      </c>
      <c r="X55" s="395">
        <v>0.2</v>
      </c>
      <c r="Y55" s="457">
        <v>29124248847</v>
      </c>
      <c r="Z55" s="274">
        <f>27218924156+3979322844.9</f>
        <v>31198247000.900002</v>
      </c>
      <c r="AA55" s="1248">
        <v>27327332015.5</v>
      </c>
      <c r="AB55" s="208">
        <f t="shared" si="2"/>
        <v>0.93830169351526138</v>
      </c>
      <c r="AC55" s="1243">
        <v>27327332015.5</v>
      </c>
      <c r="AD55" s="1240">
        <f t="shared" si="3"/>
        <v>0.93830169351526138</v>
      </c>
      <c r="AE55" s="1247">
        <f>+AA55-AC55</f>
        <v>0</v>
      </c>
      <c r="AF55" s="1248">
        <v>5505235968</v>
      </c>
      <c r="AG55" s="1248">
        <v>5478436597.21</v>
      </c>
      <c r="AH55" s="506">
        <f t="shared" si="4"/>
        <v>0.99513202141637969</v>
      </c>
      <c r="AI55" s="1255">
        <v>118945147084</v>
      </c>
      <c r="AJ55" s="1255">
        <f t="shared" si="18"/>
        <v>58525579016.400002</v>
      </c>
      <c r="AK55" s="1272">
        <f t="shared" si="5"/>
        <v>0.49203839291626394</v>
      </c>
      <c r="AL55" s="1247"/>
      <c r="AM55" s="1248"/>
      <c r="AN55" s="1249" t="s">
        <v>22</v>
      </c>
      <c r="AO55" s="1870"/>
      <c r="AP55" s="1250"/>
      <c r="AQ55" s="1251"/>
    </row>
    <row r="56" spans="1:43" ht="25.5" x14ac:dyDescent="0.25">
      <c r="A56" s="1174" t="s">
        <v>423</v>
      </c>
      <c r="B56" s="1289"/>
      <c r="C56" s="1290"/>
      <c r="D56" s="1291"/>
      <c r="E56" s="1292"/>
      <c r="F56" s="1290"/>
      <c r="G56" s="1290"/>
      <c r="H56" s="1180">
        <f>+(H57*W57)+(H70*W70)+(H79*W79)</f>
        <v>0.76919999999999999</v>
      </c>
      <c r="I56" s="1180">
        <f>+(I57*X57)+(I70*X70)+(I79*X79)</f>
        <v>0.61419999999999986</v>
      </c>
      <c r="J56" s="1293"/>
      <c r="K56" s="1293"/>
      <c r="L56" s="1182"/>
      <c r="M56" s="1183"/>
      <c r="N56" s="1183"/>
      <c r="O56" s="1293"/>
      <c r="P56" s="1293"/>
      <c r="Q56" s="1293"/>
      <c r="R56" s="1293"/>
      <c r="S56" s="1293"/>
      <c r="T56" s="1294"/>
      <c r="U56" s="1295"/>
      <c r="V56" s="1188">
        <f>+(V57*W57)+(V70*W70)+(V79*W79)</f>
        <v>0.25498661365300546</v>
      </c>
      <c r="W56" s="1296">
        <v>0.15</v>
      </c>
      <c r="X56" s="1297">
        <v>0.15</v>
      </c>
      <c r="Y56" s="1191">
        <f>+Y57+Y70+Y79</f>
        <v>4565875573</v>
      </c>
      <c r="Z56" s="1191">
        <f>+Z57+Z70+Z79</f>
        <v>2671026967</v>
      </c>
      <c r="AA56" s="1192">
        <f>+AA57+AA70+AA79</f>
        <v>3993944361.1999998</v>
      </c>
      <c r="AB56" s="1298">
        <f t="shared" si="2"/>
        <v>0.87473788922718854</v>
      </c>
      <c r="AC56" s="1191">
        <f>+AC57+AC70+AC79</f>
        <v>2874263215</v>
      </c>
      <c r="AD56" s="1299">
        <f t="shared" si="3"/>
        <v>0.62950975536800946</v>
      </c>
      <c r="AE56" s="1191">
        <f>+AE57+AE70+AE79</f>
        <v>1119681146.2</v>
      </c>
      <c r="AF56" s="1191">
        <f>+AF57+AF70+AF79</f>
        <v>1874417406.9000001</v>
      </c>
      <c r="AG56" s="1191">
        <f>+AG57+AG70+AG79</f>
        <v>1845306970.21</v>
      </c>
      <c r="AH56" s="1300">
        <f t="shared" si="4"/>
        <v>0.98446960821915097</v>
      </c>
      <c r="AI56" s="1191">
        <f>+AI57+AI70+AI79</f>
        <v>26050000000</v>
      </c>
      <c r="AJ56" s="1191">
        <f>+AJ57+AJ70+AJ79</f>
        <v>6664971328.1999998</v>
      </c>
      <c r="AK56" s="1301">
        <f t="shared" si="5"/>
        <v>0.25585302603454896</v>
      </c>
      <c r="AL56" s="1302"/>
      <c r="AM56" s="1303"/>
      <c r="AN56" s="1304"/>
      <c r="AO56" s="1305"/>
      <c r="AP56" s="1306"/>
      <c r="AQ56" s="1307"/>
    </row>
    <row r="57" spans="1:43" ht="38.25" x14ac:dyDescent="0.25">
      <c r="A57" s="1201" t="s">
        <v>429</v>
      </c>
      <c r="B57" s="1202"/>
      <c r="C57" s="1203"/>
      <c r="D57" s="1204"/>
      <c r="E57" s="1205"/>
      <c r="F57" s="1203"/>
      <c r="G57" s="1203"/>
      <c r="H57" s="1308">
        <f>+(H58*0%)+(H64*100%)</f>
        <v>1</v>
      </c>
      <c r="I57" s="1308">
        <f>+(I58*X58)+(I64*X64)</f>
        <v>0.75</v>
      </c>
      <c r="J57" s="1309"/>
      <c r="K57" s="1309"/>
      <c r="L57" s="1207"/>
      <c r="M57" s="1208"/>
      <c r="N57" s="1208"/>
      <c r="O57" s="1309"/>
      <c r="P57" s="1309"/>
      <c r="Q57" s="1309"/>
      <c r="R57" s="1310"/>
      <c r="S57" s="1309"/>
      <c r="T57" s="1311"/>
      <c r="U57" s="1211"/>
      <c r="V57" s="1312">
        <f>+(V58*W58)+(V64*W64)</f>
        <v>0.33321220944444446</v>
      </c>
      <c r="W57" s="1213">
        <v>0.3</v>
      </c>
      <c r="X57" s="1214">
        <v>0.3</v>
      </c>
      <c r="Y57" s="1215">
        <f>+Y58+Y64</f>
        <v>1100000000</v>
      </c>
      <c r="Z57" s="1215">
        <f>+Z58+Z64</f>
        <v>1620388056</v>
      </c>
      <c r="AA57" s="1215">
        <f>+AA58+AA64</f>
        <v>859909131</v>
      </c>
      <c r="AB57" s="1216">
        <f t="shared" si="2"/>
        <v>0.78173557363636359</v>
      </c>
      <c r="AC57" s="1215">
        <f>+AC58+AC64</f>
        <v>642270869</v>
      </c>
      <c r="AD57" s="1313">
        <f t="shared" si="3"/>
        <v>0.58388260818181814</v>
      </c>
      <c r="AE57" s="1215">
        <f>+AE58+AE64</f>
        <v>217638262</v>
      </c>
      <c r="AF57" s="1215">
        <f>+AF58+AF64</f>
        <v>1741019106.9000001</v>
      </c>
      <c r="AG57" s="1215">
        <f>+AG58+AG64</f>
        <v>1714219735.21</v>
      </c>
      <c r="AH57" s="1219">
        <f t="shared" si="4"/>
        <v>0.98460707778347245</v>
      </c>
      <c r="AI57" s="1215">
        <f>+AI58+AI64</f>
        <v>9080000000</v>
      </c>
      <c r="AJ57" s="1215">
        <f>+AJ58+AJ64</f>
        <v>2480297187</v>
      </c>
      <c r="AK57" s="209">
        <f t="shared" si="5"/>
        <v>0.27316048314977975</v>
      </c>
      <c r="AL57" s="160"/>
      <c r="AM57" s="1221" t="s">
        <v>294</v>
      </c>
      <c r="AN57" s="1222"/>
      <c r="AO57" s="1215"/>
      <c r="AP57" s="1223"/>
      <c r="AQ57" s="1224"/>
    </row>
    <row r="58" spans="1:43" ht="25.5" x14ac:dyDescent="0.25">
      <c r="A58" s="241" t="s">
        <v>460</v>
      </c>
      <c r="B58" s="140"/>
      <c r="C58" s="141"/>
      <c r="D58" s="187"/>
      <c r="E58" s="181"/>
      <c r="F58" s="141"/>
      <c r="G58" s="141"/>
      <c r="H58" s="142">
        <v>0</v>
      </c>
      <c r="I58" s="142">
        <f>+SUMPRODUCT(I59:I63,X59:X63)</f>
        <v>0.5</v>
      </c>
      <c r="J58" s="143"/>
      <c r="K58" s="143"/>
      <c r="L58" s="1269"/>
      <c r="M58" s="1269"/>
      <c r="N58" s="1269"/>
      <c r="O58" s="143"/>
      <c r="P58" s="143"/>
      <c r="Q58" s="143"/>
      <c r="R58" s="158"/>
      <c r="S58" s="1270"/>
      <c r="T58" s="1226"/>
      <c r="U58" s="201"/>
      <c r="V58" s="165">
        <f>+SUMPRODUCT(V59:V63,AK59:AK63)</f>
        <v>0.49975775222222224</v>
      </c>
      <c r="W58" s="142">
        <v>0.5</v>
      </c>
      <c r="X58" s="394">
        <v>0.5</v>
      </c>
      <c r="Y58" s="145">
        <f>SUM(Y59:Y63)</f>
        <v>500000000</v>
      </c>
      <c r="Z58" s="145">
        <f>SUM(Z59:Z63)</f>
        <v>202888056</v>
      </c>
      <c r="AA58" s="145">
        <f>SUM(AA59:AA63)</f>
        <v>267680487</v>
      </c>
      <c r="AB58" s="207">
        <f t="shared" si="2"/>
        <v>0.53536097400000004</v>
      </c>
      <c r="AC58" s="145">
        <f>SUM(AC59:AC63)</f>
        <v>56522524</v>
      </c>
      <c r="AD58" s="1225">
        <f t="shared" si="3"/>
        <v>0.113045048</v>
      </c>
      <c r="AE58" s="145">
        <f>SUM(AE59:AE63)</f>
        <v>211157963</v>
      </c>
      <c r="AF58" s="145">
        <f>SUM(AF59:AF63)</f>
        <v>366019106.89999998</v>
      </c>
      <c r="AG58" s="145">
        <f>SUM(AG59:AG63)</f>
        <v>339219735.20999998</v>
      </c>
      <c r="AH58" s="505">
        <f t="shared" si="4"/>
        <v>0.92678149532417209</v>
      </c>
      <c r="AI58" s="145">
        <f>SUM(AI59:AI63)</f>
        <v>4350000000</v>
      </c>
      <c r="AJ58" s="145">
        <f>SUM(AJ59:AJ63)</f>
        <v>470568543</v>
      </c>
      <c r="AK58" s="1271">
        <f t="shared" si="5"/>
        <v>0.10817667655172414</v>
      </c>
      <c r="AL58" s="1229"/>
      <c r="AM58" s="159"/>
      <c r="AN58" s="482"/>
      <c r="AO58" s="145"/>
      <c r="AP58" s="483"/>
      <c r="AQ58" s="101"/>
    </row>
    <row r="59" spans="1:43" ht="51" x14ac:dyDescent="0.25">
      <c r="A59" s="1314" t="s">
        <v>550</v>
      </c>
      <c r="B59" s="333" t="s">
        <v>743</v>
      </c>
      <c r="C59" s="1315">
        <v>0</v>
      </c>
      <c r="D59" s="302">
        <v>0</v>
      </c>
      <c r="E59" s="1234">
        <v>0</v>
      </c>
      <c r="F59" s="1232"/>
      <c r="G59" s="1232"/>
      <c r="H59" s="167" t="e">
        <f t="shared" ref="H59:H69" si="39">IF((E59+G59)/C59&gt;=100%,100%,(E59+G59)/C59)</f>
        <v>#DIV/0!</v>
      </c>
      <c r="I59" s="148">
        <v>0</v>
      </c>
      <c r="J59" s="1235"/>
      <c r="K59" s="1235"/>
      <c r="L59" s="1236"/>
      <c r="M59" s="1237"/>
      <c r="N59" s="1238"/>
      <c r="O59" s="1235"/>
      <c r="P59" s="1235"/>
      <c r="Q59" s="1235"/>
      <c r="R59" s="1239"/>
      <c r="S59" s="156"/>
      <c r="T59" s="1274">
        <v>150</v>
      </c>
      <c r="U59" s="1241">
        <f t="shared" ref="U59" si="40">SUM(E59:F59)</f>
        <v>0</v>
      </c>
      <c r="V59" s="152">
        <f t="shared" ref="V59:V63" si="41">IF(U59/T59&gt;=100%,100%,U59/T59)</f>
        <v>0</v>
      </c>
      <c r="W59" s="405">
        <v>0.25</v>
      </c>
      <c r="X59" s="395">
        <v>0</v>
      </c>
      <c r="Y59" s="1316" t="s">
        <v>892</v>
      </c>
      <c r="Z59" s="277" t="s">
        <v>892</v>
      </c>
      <c r="AA59" s="1248"/>
      <c r="AB59" s="208" t="e">
        <f t="shared" si="2"/>
        <v>#DIV/0!</v>
      </c>
      <c r="AC59" s="1243"/>
      <c r="AD59" s="1249" t="e">
        <f t="shared" si="3"/>
        <v>#DIV/0!</v>
      </c>
      <c r="AE59" s="1247"/>
      <c r="AF59" s="1248"/>
      <c r="AG59" s="1248"/>
      <c r="AH59" s="506" t="e">
        <f t="shared" si="4"/>
        <v>#DIV/0!</v>
      </c>
      <c r="AI59" s="1255">
        <v>1500000000</v>
      </c>
      <c r="AJ59" s="1255">
        <f t="shared" si="18"/>
        <v>0</v>
      </c>
      <c r="AK59" s="1272">
        <f t="shared" si="5"/>
        <v>0</v>
      </c>
      <c r="AL59" s="1247"/>
      <c r="AM59" s="1248"/>
      <c r="AN59" s="1249" t="s">
        <v>10</v>
      </c>
      <c r="AO59" s="486" t="s">
        <v>903</v>
      </c>
      <c r="AP59" s="1250"/>
      <c r="AQ59" s="1251"/>
    </row>
    <row r="60" spans="1:43" ht="140.25" x14ac:dyDescent="0.25">
      <c r="A60" s="247" t="s">
        <v>551</v>
      </c>
      <c r="B60" s="334" t="s">
        <v>741</v>
      </c>
      <c r="C60" s="369">
        <v>0</v>
      </c>
      <c r="D60" s="303">
        <v>50000</v>
      </c>
      <c r="E60" s="1234">
        <v>0</v>
      </c>
      <c r="F60" s="1232">
        <v>0</v>
      </c>
      <c r="G60" s="1232"/>
      <c r="H60" s="167" t="e">
        <f t="shared" si="39"/>
        <v>#DIV/0!</v>
      </c>
      <c r="I60" s="148">
        <f t="shared" ref="I60" si="42">IF(F60/D60&gt;=100%,100%,F60/D60)</f>
        <v>0</v>
      </c>
      <c r="J60" s="1235" t="s">
        <v>955</v>
      </c>
      <c r="K60" s="1235"/>
      <c r="L60" s="1236"/>
      <c r="M60" s="1237"/>
      <c r="N60" s="1238"/>
      <c r="O60" s="1235"/>
      <c r="P60" s="1235"/>
      <c r="Q60" s="1235"/>
      <c r="R60" s="1239"/>
      <c r="S60" s="156"/>
      <c r="T60" s="1274">
        <v>150000</v>
      </c>
      <c r="U60" s="1241">
        <f t="shared" ref="U60:U63" si="43">SUM(E60:F60)</f>
        <v>0</v>
      </c>
      <c r="V60" s="152">
        <f t="shared" si="41"/>
        <v>0</v>
      </c>
      <c r="W60" s="406">
        <v>0.2</v>
      </c>
      <c r="X60" s="395">
        <v>0.5</v>
      </c>
      <c r="Y60" s="458">
        <v>250000000</v>
      </c>
      <c r="Z60" s="278"/>
      <c r="AA60" s="1248">
        <v>20786566</v>
      </c>
      <c r="AB60" s="208">
        <f t="shared" si="2"/>
        <v>8.3146263999999998E-2</v>
      </c>
      <c r="AC60" s="1243">
        <v>17325906</v>
      </c>
      <c r="AD60" s="1249">
        <f t="shared" si="3"/>
        <v>6.9303623999999994E-2</v>
      </c>
      <c r="AE60" s="1247">
        <f>+AA60-AC60</f>
        <v>3460660</v>
      </c>
      <c r="AF60" s="1248"/>
      <c r="AG60" s="1248"/>
      <c r="AH60" s="506" t="e">
        <f t="shared" si="4"/>
        <v>#DIV/0!</v>
      </c>
      <c r="AI60" s="1255">
        <v>600000000</v>
      </c>
      <c r="AJ60" s="1255">
        <f t="shared" si="18"/>
        <v>20786566</v>
      </c>
      <c r="AK60" s="1272">
        <f t="shared" si="5"/>
        <v>3.4644276666666668E-2</v>
      </c>
      <c r="AL60" s="1247"/>
      <c r="AM60" s="1248"/>
      <c r="AN60" s="1249" t="s">
        <v>302</v>
      </c>
      <c r="AO60" s="486" t="s">
        <v>903</v>
      </c>
      <c r="AP60" s="1250"/>
      <c r="AQ60" s="1251"/>
    </row>
    <row r="61" spans="1:43" ht="102" x14ac:dyDescent="0.25">
      <c r="A61" s="247" t="s">
        <v>552</v>
      </c>
      <c r="B61" s="1317" t="s">
        <v>742</v>
      </c>
      <c r="C61" s="370">
        <v>0</v>
      </c>
      <c r="D61" s="304">
        <v>0</v>
      </c>
      <c r="E61" s="1234">
        <v>0</v>
      </c>
      <c r="F61" s="1232"/>
      <c r="G61" s="1232"/>
      <c r="H61" s="167" t="e">
        <f t="shared" si="39"/>
        <v>#DIV/0!</v>
      </c>
      <c r="I61" s="148">
        <v>0</v>
      </c>
      <c r="J61" s="1235"/>
      <c r="K61" s="1235"/>
      <c r="L61" s="1236"/>
      <c r="M61" s="1237"/>
      <c r="N61" s="1238"/>
      <c r="O61" s="1235"/>
      <c r="P61" s="1235"/>
      <c r="Q61" s="1235"/>
      <c r="R61" s="1239"/>
      <c r="S61" s="156"/>
      <c r="T61" s="1274">
        <v>4</v>
      </c>
      <c r="U61" s="1241">
        <f t="shared" si="43"/>
        <v>0</v>
      </c>
      <c r="V61" s="152">
        <f t="shared" si="41"/>
        <v>0</v>
      </c>
      <c r="W61" s="407">
        <v>0.15</v>
      </c>
      <c r="X61" s="395">
        <v>0</v>
      </c>
      <c r="Y61" s="458" t="s">
        <v>892</v>
      </c>
      <c r="Z61" s="278" t="s">
        <v>892</v>
      </c>
      <c r="AA61" s="1248"/>
      <c r="AB61" s="208" t="e">
        <f t="shared" si="2"/>
        <v>#DIV/0!</v>
      </c>
      <c r="AC61" s="1243"/>
      <c r="AD61" s="1249" t="e">
        <f t="shared" si="3"/>
        <v>#DIV/0!</v>
      </c>
      <c r="AE61" s="1247"/>
      <c r="AF61" s="1248"/>
      <c r="AG61" s="1248"/>
      <c r="AH61" s="506" t="e">
        <f t="shared" si="4"/>
        <v>#DIV/0!</v>
      </c>
      <c r="AI61" s="1255">
        <v>800000000</v>
      </c>
      <c r="AJ61" s="1255">
        <f t="shared" si="18"/>
        <v>0</v>
      </c>
      <c r="AK61" s="1272">
        <f t="shared" si="5"/>
        <v>0</v>
      </c>
      <c r="AL61" s="1247"/>
      <c r="AM61" s="1248"/>
      <c r="AN61" s="1249" t="s">
        <v>302</v>
      </c>
      <c r="AO61" s="486" t="s">
        <v>903</v>
      </c>
      <c r="AP61" s="1250"/>
      <c r="AQ61" s="1251"/>
    </row>
    <row r="62" spans="1:43" ht="153" x14ac:dyDescent="0.25">
      <c r="A62" s="247" t="s">
        <v>553</v>
      </c>
      <c r="B62" s="333" t="s">
        <v>744</v>
      </c>
      <c r="C62" s="1315">
        <v>0</v>
      </c>
      <c r="D62" s="302">
        <v>1</v>
      </c>
      <c r="E62" s="1234">
        <v>0</v>
      </c>
      <c r="F62" s="1232">
        <v>1</v>
      </c>
      <c r="G62" s="1232"/>
      <c r="H62" s="167" t="e">
        <f t="shared" si="39"/>
        <v>#DIV/0!</v>
      </c>
      <c r="I62" s="148">
        <f t="shared" ref="I62" si="44">IF(F62/D62&gt;=100%,100%,F62/D62)</f>
        <v>1</v>
      </c>
      <c r="J62" s="1235" t="s">
        <v>956</v>
      </c>
      <c r="K62" s="1235"/>
      <c r="L62" s="1236"/>
      <c r="M62" s="1237"/>
      <c r="N62" s="1238"/>
      <c r="O62" s="1235"/>
      <c r="P62" s="1235"/>
      <c r="Q62" s="1235"/>
      <c r="R62" s="1239"/>
      <c r="S62" s="156"/>
      <c r="T62" s="1274">
        <v>2</v>
      </c>
      <c r="U62" s="1241">
        <f t="shared" si="43"/>
        <v>1</v>
      </c>
      <c r="V62" s="152">
        <f t="shared" si="41"/>
        <v>0.5</v>
      </c>
      <c r="W62" s="405">
        <v>0.2</v>
      </c>
      <c r="X62" s="395">
        <v>0.5</v>
      </c>
      <c r="Y62" s="458">
        <v>250000000</v>
      </c>
      <c r="Z62" s="274">
        <v>202888056</v>
      </c>
      <c r="AA62" s="1248">
        <v>246893921</v>
      </c>
      <c r="AB62" s="208">
        <f t="shared" si="2"/>
        <v>0.98757568399999995</v>
      </c>
      <c r="AC62" s="1243">
        <v>39196618</v>
      </c>
      <c r="AD62" s="1249">
        <f t="shared" si="3"/>
        <v>0.15678647200000001</v>
      </c>
      <c r="AE62" s="1247">
        <f>+AA62-AC62</f>
        <v>207697303</v>
      </c>
      <c r="AF62" s="1248">
        <v>366019106.89999998</v>
      </c>
      <c r="AG62" s="1248">
        <v>339219735.20999998</v>
      </c>
      <c r="AH62" s="506">
        <f t="shared" si="4"/>
        <v>0.92678149532417209</v>
      </c>
      <c r="AI62" s="1255">
        <v>450000000</v>
      </c>
      <c r="AJ62" s="1255">
        <f t="shared" si="18"/>
        <v>449781977</v>
      </c>
      <c r="AK62" s="1287">
        <f t="shared" si="5"/>
        <v>0.99951550444444448</v>
      </c>
      <c r="AL62" s="1247"/>
      <c r="AM62" s="1248"/>
      <c r="AN62" s="1249" t="s">
        <v>21</v>
      </c>
      <c r="AO62" s="486" t="s">
        <v>895</v>
      </c>
      <c r="AP62" s="1250"/>
      <c r="AQ62" s="1251"/>
    </row>
    <row r="63" spans="1:43" ht="51" x14ac:dyDescent="0.25">
      <c r="A63" s="247" t="s">
        <v>554</v>
      </c>
      <c r="B63" s="1318" t="s">
        <v>745</v>
      </c>
      <c r="C63" s="369">
        <v>0</v>
      </c>
      <c r="D63" s="303">
        <v>0</v>
      </c>
      <c r="E63" s="1234">
        <v>0</v>
      </c>
      <c r="F63" s="1232"/>
      <c r="G63" s="1232"/>
      <c r="H63" s="167" t="e">
        <f t="shared" si="39"/>
        <v>#DIV/0!</v>
      </c>
      <c r="I63" s="148">
        <v>0</v>
      </c>
      <c r="J63" s="1235"/>
      <c r="K63" s="1235"/>
      <c r="L63" s="1236"/>
      <c r="M63" s="1237"/>
      <c r="N63" s="1238"/>
      <c r="O63" s="1235"/>
      <c r="P63" s="1235"/>
      <c r="Q63" s="1235"/>
      <c r="R63" s="1239"/>
      <c r="S63" s="1235"/>
      <c r="T63" s="1274">
        <v>100</v>
      </c>
      <c r="U63" s="1241">
        <f t="shared" si="43"/>
        <v>0</v>
      </c>
      <c r="V63" s="152">
        <f t="shared" si="41"/>
        <v>0</v>
      </c>
      <c r="W63" s="406">
        <v>0.2</v>
      </c>
      <c r="X63" s="395">
        <v>0</v>
      </c>
      <c r="Y63" s="458" t="s">
        <v>892</v>
      </c>
      <c r="Z63" s="278" t="s">
        <v>892</v>
      </c>
      <c r="AA63" s="1248"/>
      <c r="AB63" s="208" t="e">
        <f t="shared" si="2"/>
        <v>#DIV/0!</v>
      </c>
      <c r="AC63" s="1243"/>
      <c r="AD63" s="1249" t="e">
        <f t="shared" si="3"/>
        <v>#DIV/0!</v>
      </c>
      <c r="AE63" s="1247"/>
      <c r="AF63" s="1248"/>
      <c r="AG63" s="1248"/>
      <c r="AH63" s="506" t="e">
        <f t="shared" si="4"/>
        <v>#DIV/0!</v>
      </c>
      <c r="AI63" s="1268">
        <v>1000000000</v>
      </c>
      <c r="AJ63" s="1255">
        <f t="shared" si="18"/>
        <v>0</v>
      </c>
      <c r="AK63" s="1272">
        <f t="shared" si="5"/>
        <v>0</v>
      </c>
      <c r="AL63" s="1247"/>
      <c r="AM63" s="1248"/>
      <c r="AN63" s="1249" t="s">
        <v>10</v>
      </c>
      <c r="AO63" s="486" t="s">
        <v>904</v>
      </c>
      <c r="AP63" s="1250"/>
      <c r="AQ63" s="1251"/>
    </row>
    <row r="64" spans="1:43" x14ac:dyDescent="0.25">
      <c r="A64" s="241" t="s">
        <v>461</v>
      </c>
      <c r="B64" s="140"/>
      <c r="C64" s="141"/>
      <c r="D64" s="187"/>
      <c r="E64" s="181"/>
      <c r="F64" s="141"/>
      <c r="G64" s="141"/>
      <c r="H64" s="142">
        <f>+(H65*15%)+(H67*25%)+(H68*25%)+(H69*35%)</f>
        <v>1</v>
      </c>
      <c r="I64" s="142">
        <f>+SUMPRODUCT(I65:I69,X65:X69)</f>
        <v>1</v>
      </c>
      <c r="J64" s="143"/>
      <c r="K64" s="143"/>
      <c r="L64" s="1269"/>
      <c r="M64" s="1269"/>
      <c r="N64" s="1269"/>
      <c r="O64" s="143"/>
      <c r="P64" s="143"/>
      <c r="Q64" s="143"/>
      <c r="R64" s="158"/>
      <c r="S64" s="1270"/>
      <c r="T64" s="1226"/>
      <c r="U64" s="201"/>
      <c r="V64" s="165">
        <f>+SUMPRODUCT(V65:V69,W65:W69)</f>
        <v>0.16666666666666669</v>
      </c>
      <c r="W64" s="142">
        <v>0.5</v>
      </c>
      <c r="X64" s="394">
        <v>0.5</v>
      </c>
      <c r="Y64" s="145">
        <f>SUM(Y65:Y69)</f>
        <v>600000000</v>
      </c>
      <c r="Z64" s="145">
        <f>SUM(Z65:Z69)</f>
        <v>1417500000</v>
      </c>
      <c r="AA64" s="145">
        <f>SUM(AA65:AA69)</f>
        <v>592228644</v>
      </c>
      <c r="AB64" s="207">
        <f t="shared" si="2"/>
        <v>0.98704773999999995</v>
      </c>
      <c r="AC64" s="145">
        <f>SUM(AC65:AC69)</f>
        <v>585748345</v>
      </c>
      <c r="AD64" s="1225">
        <f t="shared" si="3"/>
        <v>0.97624724166666665</v>
      </c>
      <c r="AE64" s="145">
        <f>SUM(AE65:AE69)</f>
        <v>6480299</v>
      </c>
      <c r="AF64" s="145">
        <f>SUM(AF65:AF69)</f>
        <v>1375000000</v>
      </c>
      <c r="AG64" s="145">
        <f>SUM(AG65:AG69)</f>
        <v>1375000000</v>
      </c>
      <c r="AH64" s="505">
        <f t="shared" si="4"/>
        <v>1</v>
      </c>
      <c r="AI64" s="145">
        <f>SUM(AI65:AI69)</f>
        <v>4730000000</v>
      </c>
      <c r="AJ64" s="145">
        <f>SUM(AJ65:AJ69)</f>
        <v>2009728644</v>
      </c>
      <c r="AK64" s="1271">
        <f t="shared" si="5"/>
        <v>0.42488977674418604</v>
      </c>
      <c r="AL64" s="1229"/>
      <c r="AM64" s="159"/>
      <c r="AN64" s="482"/>
      <c r="AO64" s="145"/>
      <c r="AP64" s="483"/>
      <c r="AQ64" s="101"/>
    </row>
    <row r="65" spans="1:43" ht="114.75" x14ac:dyDescent="0.25">
      <c r="A65" s="248" t="s">
        <v>555</v>
      </c>
      <c r="B65" s="336" t="s">
        <v>746</v>
      </c>
      <c r="C65" s="1319">
        <v>1</v>
      </c>
      <c r="D65" s="1320">
        <v>0</v>
      </c>
      <c r="E65" s="1234">
        <v>0</v>
      </c>
      <c r="F65" s="1232"/>
      <c r="G65" s="1232">
        <v>1</v>
      </c>
      <c r="H65" s="167">
        <f t="shared" si="39"/>
        <v>1</v>
      </c>
      <c r="I65" s="148">
        <v>0</v>
      </c>
      <c r="J65" s="1235"/>
      <c r="K65" s="1235"/>
      <c r="L65" s="1236"/>
      <c r="M65" s="1237"/>
      <c r="N65" s="1238"/>
      <c r="O65" s="1235"/>
      <c r="P65" s="1235"/>
      <c r="Q65" s="1235"/>
      <c r="R65" s="1239"/>
      <c r="S65" s="156"/>
      <c r="T65" s="1274">
        <v>1</v>
      </c>
      <c r="U65" s="1241">
        <f>SUM(E65:F65)</f>
        <v>0</v>
      </c>
      <c r="V65" s="273">
        <f>IF(U65/T65&gt;=100%,100%,U65/T65)</f>
        <v>0</v>
      </c>
      <c r="W65" s="408">
        <v>0.1</v>
      </c>
      <c r="X65" s="395">
        <v>0</v>
      </c>
      <c r="Y65" s="459"/>
      <c r="Z65" s="274">
        <v>300000000</v>
      </c>
      <c r="AA65" s="1248"/>
      <c r="AB65" s="208" t="e">
        <f t="shared" si="2"/>
        <v>#DIV/0!</v>
      </c>
      <c r="AC65" s="1243"/>
      <c r="AD65" s="1249" t="e">
        <f t="shared" si="3"/>
        <v>#DIV/0!</v>
      </c>
      <c r="AE65" s="1247"/>
      <c r="AF65" s="1248">
        <v>300000000</v>
      </c>
      <c r="AG65" s="1248">
        <v>300000000</v>
      </c>
      <c r="AH65" s="506">
        <f t="shared" si="4"/>
        <v>1</v>
      </c>
      <c r="AI65" s="1255">
        <v>300000000</v>
      </c>
      <c r="AJ65" s="1255">
        <f t="shared" si="18"/>
        <v>300000000</v>
      </c>
      <c r="AK65" s="1287">
        <f t="shared" si="5"/>
        <v>1</v>
      </c>
      <c r="AL65" s="1247"/>
      <c r="AM65" s="1248"/>
      <c r="AN65" s="1249" t="s">
        <v>302</v>
      </c>
      <c r="AO65" s="487" t="s">
        <v>905</v>
      </c>
      <c r="AP65" s="1250"/>
      <c r="AQ65" s="1251"/>
    </row>
    <row r="66" spans="1:43" ht="165.75" x14ac:dyDescent="0.25">
      <c r="A66" s="248" t="s">
        <v>556</v>
      </c>
      <c r="B66" s="337" t="s">
        <v>17</v>
      </c>
      <c r="C66" s="1319">
        <v>0</v>
      </c>
      <c r="D66" s="1320">
        <v>2</v>
      </c>
      <c r="E66" s="1234">
        <v>0</v>
      </c>
      <c r="F66" s="1232">
        <v>2</v>
      </c>
      <c r="G66" s="1232"/>
      <c r="H66" s="167" t="e">
        <f t="shared" si="39"/>
        <v>#DIV/0!</v>
      </c>
      <c r="I66" s="148">
        <f t="shared" ref="I66:I67" si="45">IF(F66/D66&gt;=100%,100%,F66/D66)</f>
        <v>1</v>
      </c>
      <c r="J66" s="1235" t="s">
        <v>957</v>
      </c>
      <c r="K66" s="1235"/>
      <c r="L66" s="1236"/>
      <c r="M66" s="1237"/>
      <c r="N66" s="1238"/>
      <c r="O66" s="1235"/>
      <c r="P66" s="1235"/>
      <c r="Q66" s="1235"/>
      <c r="R66" s="1239"/>
      <c r="S66" s="156"/>
      <c r="T66" s="1274">
        <v>6</v>
      </c>
      <c r="U66" s="1241">
        <f t="shared" ref="U66:U69" si="46">SUM(E66:F66)</f>
        <v>2</v>
      </c>
      <c r="V66" s="273">
        <f t="shared" ref="V66:V69" si="47">IF(U66/T66&gt;=100%,100%,U66/T66)</f>
        <v>0.33333333333333331</v>
      </c>
      <c r="W66" s="408">
        <v>0.2</v>
      </c>
      <c r="X66" s="395">
        <v>0.5</v>
      </c>
      <c r="Y66" s="460">
        <v>300000000</v>
      </c>
      <c r="Z66" s="278" t="s">
        <v>892</v>
      </c>
      <c r="AA66" s="1248">
        <v>296110717</v>
      </c>
      <c r="AB66" s="208">
        <f t="shared" si="2"/>
        <v>0.98703572333333334</v>
      </c>
      <c r="AC66" s="1243">
        <v>292869958</v>
      </c>
      <c r="AD66" s="1240">
        <f t="shared" si="3"/>
        <v>0.97623319333333336</v>
      </c>
      <c r="AE66" s="1247">
        <f>+AA66-AC66</f>
        <v>3240759</v>
      </c>
      <c r="AF66" s="1248"/>
      <c r="AG66" s="1248"/>
      <c r="AH66" s="506" t="e">
        <f t="shared" si="4"/>
        <v>#DIV/0!</v>
      </c>
      <c r="AI66" s="1255">
        <v>1200000000</v>
      </c>
      <c r="AJ66" s="1255">
        <f t="shared" si="18"/>
        <v>296110717</v>
      </c>
      <c r="AK66" s="1272">
        <f t="shared" si="5"/>
        <v>0.24675893083333333</v>
      </c>
      <c r="AL66" s="1247"/>
      <c r="AM66" s="1248"/>
      <c r="AN66" s="1249" t="s">
        <v>16</v>
      </c>
      <c r="AO66" s="487" t="s">
        <v>905</v>
      </c>
      <c r="AP66" s="1250"/>
      <c r="AQ66" s="1251"/>
    </row>
    <row r="67" spans="1:43" ht="114.75" x14ac:dyDescent="0.25">
      <c r="A67" s="248" t="s">
        <v>557</v>
      </c>
      <c r="B67" s="337" t="s">
        <v>747</v>
      </c>
      <c r="C67" s="1319">
        <v>1</v>
      </c>
      <c r="D67" s="1320">
        <v>2</v>
      </c>
      <c r="E67" s="1234">
        <v>0</v>
      </c>
      <c r="F67" s="1232">
        <v>2</v>
      </c>
      <c r="G67" s="1232">
        <v>1</v>
      </c>
      <c r="H67" s="167">
        <f t="shared" si="39"/>
        <v>1</v>
      </c>
      <c r="I67" s="148">
        <f t="shared" si="45"/>
        <v>1</v>
      </c>
      <c r="J67" s="1235" t="s">
        <v>958</v>
      </c>
      <c r="K67" s="1235"/>
      <c r="L67" s="1236"/>
      <c r="M67" s="1237"/>
      <c r="N67" s="1238"/>
      <c r="O67" s="1235"/>
      <c r="P67" s="1235"/>
      <c r="Q67" s="1235"/>
      <c r="R67" s="1239"/>
      <c r="S67" s="156"/>
      <c r="T67" s="1274">
        <v>4</v>
      </c>
      <c r="U67" s="1241">
        <f t="shared" si="46"/>
        <v>2</v>
      </c>
      <c r="V67" s="273">
        <f t="shared" si="47"/>
        <v>0.5</v>
      </c>
      <c r="W67" s="408">
        <v>0.2</v>
      </c>
      <c r="X67" s="395">
        <v>0.5</v>
      </c>
      <c r="Y67" s="460">
        <v>300000000</v>
      </c>
      <c r="Z67" s="274">
        <v>220000000</v>
      </c>
      <c r="AA67" s="1248">
        <v>296117927</v>
      </c>
      <c r="AB67" s="208">
        <f t="shared" si="2"/>
        <v>0.98705975666666668</v>
      </c>
      <c r="AC67" s="1243">
        <v>292878387</v>
      </c>
      <c r="AD67" s="1240">
        <f t="shared" si="3"/>
        <v>0.97626128999999995</v>
      </c>
      <c r="AE67" s="1247">
        <f>+AA67-AC67</f>
        <v>3239540</v>
      </c>
      <c r="AF67" s="1248">
        <v>220000000</v>
      </c>
      <c r="AG67" s="1248">
        <v>220000000</v>
      </c>
      <c r="AH67" s="506">
        <f t="shared" si="4"/>
        <v>1</v>
      </c>
      <c r="AI67" s="1255">
        <v>880000000</v>
      </c>
      <c r="AJ67" s="1255">
        <f t="shared" si="18"/>
        <v>516117927</v>
      </c>
      <c r="AK67" s="1287">
        <f t="shared" si="5"/>
        <v>0.58649764431818185</v>
      </c>
      <c r="AL67" s="1247"/>
      <c r="AM67" s="1248"/>
      <c r="AN67" s="1249" t="s">
        <v>302</v>
      </c>
      <c r="AO67" s="487" t="s">
        <v>906</v>
      </c>
      <c r="AP67" s="1250"/>
      <c r="AQ67" s="1251"/>
    </row>
    <row r="68" spans="1:43" ht="25.5" x14ac:dyDescent="0.25">
      <c r="A68" s="248" t="s">
        <v>558</v>
      </c>
      <c r="B68" s="337" t="s">
        <v>748</v>
      </c>
      <c r="C68" s="1319">
        <v>1</v>
      </c>
      <c r="D68" s="1320">
        <v>0</v>
      </c>
      <c r="E68" s="1234">
        <v>0</v>
      </c>
      <c r="F68" s="1232"/>
      <c r="G68" s="1232">
        <v>1</v>
      </c>
      <c r="H68" s="167">
        <f t="shared" si="39"/>
        <v>1</v>
      </c>
      <c r="I68" s="148">
        <v>0</v>
      </c>
      <c r="J68" s="1235"/>
      <c r="K68" s="1235"/>
      <c r="L68" s="1236"/>
      <c r="M68" s="1237"/>
      <c r="N68" s="1238"/>
      <c r="O68" s="1235"/>
      <c r="P68" s="1235"/>
      <c r="Q68" s="1235"/>
      <c r="R68" s="1239"/>
      <c r="S68" s="1235"/>
      <c r="T68" s="1274">
        <v>1</v>
      </c>
      <c r="U68" s="1241">
        <f t="shared" si="46"/>
        <v>0</v>
      </c>
      <c r="V68" s="273">
        <f t="shared" si="47"/>
        <v>0</v>
      </c>
      <c r="W68" s="408">
        <v>0.2</v>
      </c>
      <c r="X68" s="395">
        <v>0</v>
      </c>
      <c r="Y68" s="459"/>
      <c r="Z68" s="274">
        <v>500000000</v>
      </c>
      <c r="AA68" s="1248"/>
      <c r="AB68" s="208" t="e">
        <f t="shared" si="2"/>
        <v>#DIV/0!</v>
      </c>
      <c r="AC68" s="1243"/>
      <c r="AD68" s="1249" t="e">
        <f t="shared" si="3"/>
        <v>#DIV/0!</v>
      </c>
      <c r="AE68" s="1247"/>
      <c r="AF68" s="1248">
        <v>475000000</v>
      </c>
      <c r="AG68" s="1248">
        <v>475000000</v>
      </c>
      <c r="AH68" s="506">
        <f t="shared" si="4"/>
        <v>1</v>
      </c>
      <c r="AI68" s="1255">
        <v>600000000</v>
      </c>
      <c r="AJ68" s="1255">
        <f t="shared" si="18"/>
        <v>500000000</v>
      </c>
      <c r="AK68" s="1287">
        <f t="shared" si="5"/>
        <v>0.83333333333333337</v>
      </c>
      <c r="AL68" s="1247"/>
      <c r="AM68" s="1248"/>
      <c r="AN68" s="1249" t="s">
        <v>302</v>
      </c>
      <c r="AO68" s="487" t="s">
        <v>907</v>
      </c>
      <c r="AP68" s="1250"/>
      <c r="AQ68" s="1251"/>
    </row>
    <row r="69" spans="1:43" ht="102" x14ac:dyDescent="0.25">
      <c r="A69" s="248" t="s">
        <v>559</v>
      </c>
      <c r="B69" s="337" t="s">
        <v>749</v>
      </c>
      <c r="C69" s="1319">
        <v>2</v>
      </c>
      <c r="D69" s="1320">
        <v>0</v>
      </c>
      <c r="E69" s="1234">
        <v>0</v>
      </c>
      <c r="F69" s="1232"/>
      <c r="G69" s="1232">
        <v>2</v>
      </c>
      <c r="H69" s="167">
        <f t="shared" si="39"/>
        <v>1</v>
      </c>
      <c r="I69" s="148">
        <v>0</v>
      </c>
      <c r="J69" s="1235"/>
      <c r="K69" s="1235"/>
      <c r="L69" s="1236"/>
      <c r="M69" s="1237"/>
      <c r="N69" s="1238"/>
      <c r="O69" s="1235"/>
      <c r="P69" s="1235"/>
      <c r="Q69" s="1235"/>
      <c r="R69" s="1239"/>
      <c r="S69" s="1235"/>
      <c r="T69" s="1274">
        <v>7</v>
      </c>
      <c r="U69" s="1241">
        <f t="shared" si="46"/>
        <v>0</v>
      </c>
      <c r="V69" s="273">
        <f t="shared" si="47"/>
        <v>0</v>
      </c>
      <c r="W69" s="408">
        <v>0.3</v>
      </c>
      <c r="X69" s="395">
        <v>0</v>
      </c>
      <c r="Y69" s="459"/>
      <c r="Z69" s="274">
        <v>397500000</v>
      </c>
      <c r="AA69" s="1248"/>
      <c r="AB69" s="208" t="e">
        <f t="shared" si="2"/>
        <v>#DIV/0!</v>
      </c>
      <c r="AC69" s="1243"/>
      <c r="AD69" s="1249" t="e">
        <f t="shared" si="3"/>
        <v>#DIV/0!</v>
      </c>
      <c r="AE69" s="1247"/>
      <c r="AF69" s="1248">
        <v>380000000</v>
      </c>
      <c r="AG69" s="1248">
        <v>380000000</v>
      </c>
      <c r="AH69" s="506">
        <f t="shared" si="4"/>
        <v>1</v>
      </c>
      <c r="AI69" s="1255">
        <v>1750000000</v>
      </c>
      <c r="AJ69" s="1255">
        <f>+SUM(Z69:AA69)</f>
        <v>397500000</v>
      </c>
      <c r="AK69" s="1272">
        <f t="shared" si="5"/>
        <v>0.22714285714285715</v>
      </c>
      <c r="AL69" s="1247"/>
      <c r="AM69" s="1248"/>
      <c r="AN69" s="1249" t="s">
        <v>16</v>
      </c>
      <c r="AO69" s="487" t="s">
        <v>906</v>
      </c>
    </row>
    <row r="70" spans="1:43" ht="38.25" x14ac:dyDescent="0.25">
      <c r="A70" s="1201" t="s">
        <v>430</v>
      </c>
      <c r="B70" s="1202"/>
      <c r="C70" s="1203"/>
      <c r="D70" s="1204"/>
      <c r="E70" s="1205"/>
      <c r="F70" s="1203"/>
      <c r="G70" s="1203"/>
      <c r="H70" s="1308">
        <f>+(H71*0%)+(H74*0%)+(H76*100%)</f>
        <v>0.8</v>
      </c>
      <c r="I70" s="1206">
        <f>+(I71*X71)+(I74*X74)+(I76*X76)</f>
        <v>0.3</v>
      </c>
      <c r="J70" s="1207"/>
      <c r="K70" s="1207"/>
      <c r="L70" s="1207"/>
      <c r="M70" s="1208"/>
      <c r="N70" s="1208"/>
      <c r="O70" s="1207"/>
      <c r="P70" s="1207"/>
      <c r="Q70" s="1207"/>
      <c r="R70" s="1310"/>
      <c r="S70" s="1207"/>
      <c r="T70" s="1210"/>
      <c r="U70" s="1211"/>
      <c r="V70" s="1212">
        <f>+(V71*W71)+(V74*W74)+(V76*W76)</f>
        <v>0.15</v>
      </c>
      <c r="W70" s="1213">
        <v>0.3</v>
      </c>
      <c r="X70" s="1214">
        <v>0.3</v>
      </c>
      <c r="Y70" s="1215">
        <f>+Y71+Y74+Y76</f>
        <v>623875573</v>
      </c>
      <c r="Z70" s="1215">
        <f>+Z71+Z74+Z76</f>
        <v>837503911</v>
      </c>
      <c r="AA70" s="1215">
        <f>+AA71+AA74+AA76</f>
        <v>620295093.20000005</v>
      </c>
      <c r="AB70" s="1216">
        <f t="shared" si="2"/>
        <v>0.9942609072145866</v>
      </c>
      <c r="AC70" s="1215">
        <f>+AC71+AC74+AC76</f>
        <v>272712026</v>
      </c>
      <c r="AD70" s="1208">
        <f t="shared" si="3"/>
        <v>0.43712566704386741</v>
      </c>
      <c r="AE70" s="1215">
        <f>+AE71+AE74+AE76</f>
        <v>347583067.19999999</v>
      </c>
      <c r="AF70" s="1215">
        <f>+AF71+AF74+AF76</f>
        <v>22463300</v>
      </c>
      <c r="AG70" s="1215">
        <f>+AG71+AG74+AG76</f>
        <v>20152235</v>
      </c>
      <c r="AH70" s="1219">
        <f t="shared" si="4"/>
        <v>0.89711818833386014</v>
      </c>
      <c r="AI70" s="1215">
        <f t="shared" ref="AI70:AJ70" si="48">+AI71+AI74+AI76</f>
        <v>4850000000</v>
      </c>
      <c r="AJ70" s="1215">
        <f t="shared" si="48"/>
        <v>1457799004.2</v>
      </c>
      <c r="AK70" s="1265">
        <f t="shared" si="5"/>
        <v>0.30057711426804123</v>
      </c>
      <c r="AL70" s="1221"/>
      <c r="AM70" s="1221" t="s">
        <v>299</v>
      </c>
      <c r="AN70" s="1222"/>
      <c r="AO70" s="1215"/>
      <c r="AP70" s="1223"/>
      <c r="AQ70" s="1224"/>
    </row>
    <row r="71" spans="1:43" ht="25.5" x14ac:dyDescent="0.25">
      <c r="A71" s="241" t="s">
        <v>462</v>
      </c>
      <c r="B71" s="140"/>
      <c r="C71" s="141"/>
      <c r="D71" s="187"/>
      <c r="E71" s="181"/>
      <c r="F71" s="141"/>
      <c r="G71" s="141"/>
      <c r="H71" s="142">
        <v>0</v>
      </c>
      <c r="I71" s="142">
        <f>+SUMPRODUCT(I72:I73,X72:X73)</f>
        <v>1</v>
      </c>
      <c r="J71" s="164"/>
      <c r="K71" s="164"/>
      <c r="L71" s="143"/>
      <c r="M71" s="144"/>
      <c r="N71" s="144"/>
      <c r="O71" s="164"/>
      <c r="P71" s="164"/>
      <c r="Q71" s="164"/>
      <c r="R71" s="158"/>
      <c r="S71" s="164"/>
      <c r="T71" s="191"/>
      <c r="U71" s="201"/>
      <c r="V71" s="165">
        <f>+SUMPRODUCT(V72:V73,W72:W73)</f>
        <v>9.9999999999999992E-2</v>
      </c>
      <c r="W71" s="142">
        <v>0.3</v>
      </c>
      <c r="X71" s="394">
        <v>0.3</v>
      </c>
      <c r="Y71" s="145">
        <f>SUM(Y72:Y73)</f>
        <v>100000000</v>
      </c>
      <c r="Z71" s="145">
        <f>SUM(Z72:Z73)</f>
        <v>0</v>
      </c>
      <c r="AA71" s="145">
        <f>SUM(AA72:AA73)</f>
        <v>98322560</v>
      </c>
      <c r="AB71" s="207">
        <f t="shared" si="2"/>
        <v>0.98322560000000003</v>
      </c>
      <c r="AC71" s="145">
        <f>SUM(AC72:AC73)</f>
        <v>7145145</v>
      </c>
      <c r="AD71" s="588">
        <f t="shared" si="3"/>
        <v>7.145145E-2</v>
      </c>
      <c r="AE71" s="145">
        <f>SUM(AE72:AE73)</f>
        <v>91177415</v>
      </c>
      <c r="AF71" s="145">
        <f>SUM(AF72:AF73)</f>
        <v>0</v>
      </c>
      <c r="AG71" s="145">
        <f>SUM(AG72:AG73)</f>
        <v>0</v>
      </c>
      <c r="AH71" s="505" t="e">
        <f t="shared" si="4"/>
        <v>#DIV/0!</v>
      </c>
      <c r="AI71" s="145">
        <f t="shared" ref="AI71:AJ71" si="49">SUM(AI72:AI73)</f>
        <v>1450000000</v>
      </c>
      <c r="AJ71" s="145">
        <f t="shared" si="49"/>
        <v>98322560</v>
      </c>
      <c r="AK71" s="1321">
        <f t="shared" si="5"/>
        <v>6.780866206896552E-2</v>
      </c>
      <c r="AL71" s="1322"/>
      <c r="AM71" s="159"/>
      <c r="AN71" s="482"/>
      <c r="AO71" s="145"/>
      <c r="AP71" s="483"/>
      <c r="AQ71" s="101"/>
    </row>
    <row r="72" spans="1:43" ht="229.5" x14ac:dyDescent="0.25">
      <c r="A72" s="1323" t="s">
        <v>560</v>
      </c>
      <c r="B72" s="1324" t="s">
        <v>750</v>
      </c>
      <c r="C72" s="372">
        <v>0</v>
      </c>
      <c r="D72" s="306">
        <v>1</v>
      </c>
      <c r="E72" s="1234">
        <v>0</v>
      </c>
      <c r="F72" s="1232">
        <v>1</v>
      </c>
      <c r="G72" s="1232"/>
      <c r="H72" s="167" t="e">
        <f t="shared" ref="H72:H73" si="50">IF((E72+G72)/C72&gt;=100%,100%,(E72+G72)/C72)</f>
        <v>#DIV/0!</v>
      </c>
      <c r="I72" s="148">
        <f t="shared" ref="I72" si="51">IF(F72/D72&gt;=100%,100%,F72/D72)</f>
        <v>1</v>
      </c>
      <c r="J72" s="1325" t="s">
        <v>1486</v>
      </c>
      <c r="K72" s="1325"/>
      <c r="L72" s="1236"/>
      <c r="M72" s="1237"/>
      <c r="N72" s="1238"/>
      <c r="O72" s="1325"/>
      <c r="P72" s="1325"/>
      <c r="Q72" s="1325"/>
      <c r="R72" s="1239"/>
      <c r="S72" s="1325"/>
      <c r="T72" s="1326">
        <v>3</v>
      </c>
      <c r="U72" s="1241">
        <f>SUM(E72:F72)</f>
        <v>1</v>
      </c>
      <c r="V72" s="152">
        <f>IF(U72/T72&gt;=100%,100%,U72/T72)</f>
        <v>0.33333333333333331</v>
      </c>
      <c r="W72" s="1327">
        <v>0.3</v>
      </c>
      <c r="X72" s="395">
        <v>1</v>
      </c>
      <c r="Y72" s="1328">
        <v>100000000</v>
      </c>
      <c r="Z72" s="1329" t="s">
        <v>892</v>
      </c>
      <c r="AA72" s="1330">
        <v>98322560</v>
      </c>
      <c r="AB72" s="208">
        <f t="shared" si="2"/>
        <v>0.98322560000000003</v>
      </c>
      <c r="AC72" s="990">
        <v>7145145</v>
      </c>
      <c r="AD72" s="1331">
        <f t="shared" si="3"/>
        <v>7.145145E-2</v>
      </c>
      <c r="AE72" s="1247">
        <f>+AA72-AC72</f>
        <v>91177415</v>
      </c>
      <c r="AF72" s="1330"/>
      <c r="AG72" s="1330"/>
      <c r="AH72" s="506" t="e">
        <f t="shared" si="4"/>
        <v>#DIV/0!</v>
      </c>
      <c r="AI72" s="1255">
        <v>450000000</v>
      </c>
      <c r="AJ72" s="1255">
        <f t="shared" si="18"/>
        <v>98322560</v>
      </c>
      <c r="AK72" s="1332">
        <f t="shared" si="5"/>
        <v>0.21849457777777778</v>
      </c>
      <c r="AL72" s="1333"/>
      <c r="AM72" s="1248"/>
      <c r="AN72" s="1249" t="s">
        <v>19</v>
      </c>
      <c r="AO72" s="1334" t="s">
        <v>908</v>
      </c>
      <c r="AP72" s="1250"/>
      <c r="AQ72" s="1251"/>
    </row>
    <row r="73" spans="1:43" ht="128.25" thickBot="1" x14ac:dyDescent="0.3">
      <c r="A73" s="1323" t="s">
        <v>561</v>
      </c>
      <c r="B73" s="339" t="s">
        <v>751</v>
      </c>
      <c r="C73" s="372">
        <v>0</v>
      </c>
      <c r="D73" s="306">
        <v>0</v>
      </c>
      <c r="E73" s="1234">
        <v>0</v>
      </c>
      <c r="F73" s="1232"/>
      <c r="G73" s="1232"/>
      <c r="H73" s="167" t="e">
        <f t="shared" si="50"/>
        <v>#DIV/0!</v>
      </c>
      <c r="I73" s="148">
        <v>0</v>
      </c>
      <c r="J73" s="1335"/>
      <c r="K73" s="1335"/>
      <c r="L73" s="1236"/>
      <c r="M73" s="1237"/>
      <c r="N73" s="1238"/>
      <c r="O73" s="1335"/>
      <c r="P73" s="1335"/>
      <c r="Q73" s="1335"/>
      <c r="R73" s="1239"/>
      <c r="S73" s="1335"/>
      <c r="T73" s="1241">
        <v>4</v>
      </c>
      <c r="U73" s="1241">
        <f>SUM(E73:F73)</f>
        <v>0</v>
      </c>
      <c r="V73" s="152">
        <f>IF(U73/T73&gt;=100%,100%,U73/T73)</f>
        <v>0</v>
      </c>
      <c r="W73" s="1327">
        <v>0.7</v>
      </c>
      <c r="X73" s="395">
        <v>0</v>
      </c>
      <c r="Y73" s="1336" t="s">
        <v>892</v>
      </c>
      <c r="Z73" s="1329" t="s">
        <v>892</v>
      </c>
      <c r="AA73" s="1330"/>
      <c r="AB73" s="208" t="e">
        <f t="shared" ref="AB73:AB136" si="52">+AA73/Y73</f>
        <v>#DIV/0!</v>
      </c>
      <c r="AC73" s="990"/>
      <c r="AD73" s="1331" t="e">
        <f t="shared" ref="AD73:AD136" si="53">+AC73/Y73</f>
        <v>#DIV/0!</v>
      </c>
      <c r="AE73" s="1333"/>
      <c r="AF73" s="1330"/>
      <c r="AG73" s="1330"/>
      <c r="AH73" s="506" t="e">
        <f t="shared" ref="AH73:AH136" si="54">+AG73/AF73</f>
        <v>#DIV/0!</v>
      </c>
      <c r="AI73" s="1255">
        <v>1000000000</v>
      </c>
      <c r="AJ73" s="1255">
        <f t="shared" si="18"/>
        <v>0</v>
      </c>
      <c r="AK73" s="1332">
        <f t="shared" ref="AK73:AK136" si="55">+AJ73/AI73</f>
        <v>0</v>
      </c>
      <c r="AL73" s="1333"/>
      <c r="AM73" s="1248"/>
      <c r="AN73" s="1249" t="s">
        <v>19</v>
      </c>
      <c r="AO73" s="1334" t="s">
        <v>909</v>
      </c>
      <c r="AP73" s="1250"/>
      <c r="AQ73" s="1251"/>
    </row>
    <row r="74" spans="1:43" ht="25.5" x14ac:dyDescent="0.25">
      <c r="A74" s="241" t="s">
        <v>463</v>
      </c>
      <c r="B74" s="140"/>
      <c r="C74" s="141"/>
      <c r="D74" s="187"/>
      <c r="E74" s="181"/>
      <c r="F74" s="141"/>
      <c r="G74" s="141"/>
      <c r="H74" s="142">
        <v>0</v>
      </c>
      <c r="I74" s="142">
        <f>+SUMPRODUCT(I75:I75,X75:X75)</f>
        <v>0</v>
      </c>
      <c r="J74" s="164"/>
      <c r="K74" s="164"/>
      <c r="L74" s="143"/>
      <c r="M74" s="144"/>
      <c r="N74" s="144"/>
      <c r="O74" s="164"/>
      <c r="P74" s="164"/>
      <c r="Q74" s="164"/>
      <c r="R74" s="158"/>
      <c r="S74" s="164"/>
      <c r="T74" s="191"/>
      <c r="U74" s="201"/>
      <c r="V74" s="165">
        <f>+SUMPRODUCT(V75:V75,W75:W75)</f>
        <v>0</v>
      </c>
      <c r="W74" s="142">
        <v>0.4</v>
      </c>
      <c r="X74" s="394">
        <v>0</v>
      </c>
      <c r="Y74" s="145">
        <f>SUM(Y75:Y75)</f>
        <v>0</v>
      </c>
      <c r="Z74" s="145">
        <f>SUM(Z75:Z75)</f>
        <v>0</v>
      </c>
      <c r="AA74" s="145">
        <f>SUM(AA75:AA75)</f>
        <v>0</v>
      </c>
      <c r="AB74" s="207" t="e">
        <f t="shared" si="52"/>
        <v>#DIV/0!</v>
      </c>
      <c r="AC74" s="145">
        <f>SUM(AC75:AC75)</f>
        <v>0</v>
      </c>
      <c r="AD74" s="588" t="e">
        <f t="shared" si="53"/>
        <v>#DIV/0!</v>
      </c>
      <c r="AE74" s="145">
        <f>SUM(AE75:AE75)</f>
        <v>0</v>
      </c>
      <c r="AF74" s="145">
        <f>SUM(AF75:AF75)</f>
        <v>0</v>
      </c>
      <c r="AG74" s="145">
        <f>SUM(AG75:AG75)</f>
        <v>0</v>
      </c>
      <c r="AH74" s="505" t="e">
        <f t="shared" si="54"/>
        <v>#DIV/0!</v>
      </c>
      <c r="AI74" s="145">
        <f>SUM(AI75:AI75)</f>
        <v>2000000000</v>
      </c>
      <c r="AJ74" s="145">
        <f>SUM(AJ75:AJ75)</f>
        <v>0</v>
      </c>
      <c r="AK74" s="1321">
        <f t="shared" si="55"/>
        <v>0</v>
      </c>
      <c r="AL74" s="1322"/>
      <c r="AM74" s="159"/>
      <c r="AN74" s="482"/>
      <c r="AO74" s="145"/>
      <c r="AP74" s="483"/>
      <c r="AQ74" s="101"/>
    </row>
    <row r="75" spans="1:43" ht="63.75" x14ac:dyDescent="0.25">
      <c r="A75" s="1337" t="s">
        <v>562</v>
      </c>
      <c r="B75" s="1338" t="s">
        <v>752</v>
      </c>
      <c r="C75" s="372">
        <v>0</v>
      </c>
      <c r="D75" s="306">
        <v>0</v>
      </c>
      <c r="E75" s="1234">
        <v>0</v>
      </c>
      <c r="F75" s="1232"/>
      <c r="G75" s="1232"/>
      <c r="H75" s="167" t="e">
        <f t="shared" ref="H75:H78" si="56">IF((E75+G75)/C75&gt;=100%,100%,(E75+G75)/C75)</f>
        <v>#DIV/0!</v>
      </c>
      <c r="I75" s="148">
        <v>0</v>
      </c>
      <c r="J75" s="1325"/>
      <c r="K75" s="1325"/>
      <c r="L75" s="1236"/>
      <c r="M75" s="1237"/>
      <c r="N75" s="1238"/>
      <c r="O75" s="1325"/>
      <c r="P75" s="1325"/>
      <c r="Q75" s="1325"/>
      <c r="R75" s="1239"/>
      <c r="S75" s="1325"/>
      <c r="T75" s="1241">
        <v>3</v>
      </c>
      <c r="U75" s="1241">
        <f>SUM(E75:F75)</f>
        <v>0</v>
      </c>
      <c r="V75" s="152">
        <f>IF(U75/T75&gt;=100%,100%,U75/T75)</f>
        <v>0</v>
      </c>
      <c r="W75" s="1327">
        <v>1</v>
      </c>
      <c r="X75" s="395">
        <v>0</v>
      </c>
      <c r="Y75" s="1339">
        <v>0</v>
      </c>
      <c r="Z75" s="1329" t="s">
        <v>892</v>
      </c>
      <c r="AA75" s="1330"/>
      <c r="AB75" s="208" t="e">
        <f t="shared" si="52"/>
        <v>#DIV/0!</v>
      </c>
      <c r="AC75" s="990"/>
      <c r="AD75" s="1331" t="e">
        <f t="shared" si="53"/>
        <v>#DIV/0!</v>
      </c>
      <c r="AE75" s="1333"/>
      <c r="AF75" s="1330"/>
      <c r="AG75" s="1330"/>
      <c r="AH75" s="506" t="e">
        <f t="shared" si="54"/>
        <v>#DIV/0!</v>
      </c>
      <c r="AI75" s="1255">
        <v>2000000000</v>
      </c>
      <c r="AJ75" s="1255">
        <f t="shared" si="18"/>
        <v>0</v>
      </c>
      <c r="AK75" s="1332">
        <f t="shared" si="55"/>
        <v>0</v>
      </c>
      <c r="AL75" s="1333"/>
      <c r="AM75" s="1248"/>
      <c r="AN75" s="1249" t="s">
        <v>19</v>
      </c>
      <c r="AO75" s="1340" t="s">
        <v>910</v>
      </c>
      <c r="AP75" s="1250"/>
      <c r="AQ75" s="1251"/>
    </row>
    <row r="76" spans="1:43" ht="25.5" x14ac:dyDescent="0.25">
      <c r="A76" s="241" t="s">
        <v>464</v>
      </c>
      <c r="B76" s="140"/>
      <c r="C76" s="141"/>
      <c r="D76" s="187"/>
      <c r="E76" s="181"/>
      <c r="F76" s="141"/>
      <c r="G76" s="141"/>
      <c r="H76" s="142">
        <f>+(H77*W77)+(H78*W78)</f>
        <v>0.8</v>
      </c>
      <c r="I76" s="142">
        <f>+SUMPRODUCT(I77:I78,X77:X78)</f>
        <v>0</v>
      </c>
      <c r="J76" s="196"/>
      <c r="K76" s="196"/>
      <c r="L76" s="1341"/>
      <c r="M76" s="1342"/>
      <c r="N76" s="140"/>
      <c r="O76" s="196"/>
      <c r="P76" s="196"/>
      <c r="Q76" s="196"/>
      <c r="R76" s="158"/>
      <c r="S76" s="196"/>
      <c r="T76" s="1343"/>
      <c r="U76" s="201"/>
      <c r="V76" s="165">
        <f>+SUMPRODUCT(V77:V78,W77:W78)</f>
        <v>0.4</v>
      </c>
      <c r="W76" s="142">
        <v>0.3</v>
      </c>
      <c r="X76" s="394">
        <v>0.7</v>
      </c>
      <c r="Y76" s="145">
        <f>SUM(Y77:Y78)</f>
        <v>523875573</v>
      </c>
      <c r="Z76" s="145">
        <f>SUM(Z77:Z78)</f>
        <v>837503911</v>
      </c>
      <c r="AA76" s="145">
        <f>SUM(AA77:AA78)</f>
        <v>521972533.19999999</v>
      </c>
      <c r="AB76" s="207">
        <f t="shared" si="52"/>
        <v>0.99636738206917697</v>
      </c>
      <c r="AC76" s="145">
        <f>SUM(AC77:AC78)</f>
        <v>265566881</v>
      </c>
      <c r="AD76" s="1225">
        <f t="shared" si="53"/>
        <v>0.50692739781551144</v>
      </c>
      <c r="AE76" s="145">
        <f>SUM(AE77:AE78)</f>
        <v>256405652.19999999</v>
      </c>
      <c r="AF76" s="145">
        <f>SUM(AF77:AF78)</f>
        <v>22463300</v>
      </c>
      <c r="AG76" s="145">
        <f>SUM(AG77:AG78)</f>
        <v>20152235</v>
      </c>
      <c r="AH76" s="505">
        <f t="shared" si="54"/>
        <v>0.89711818833386014</v>
      </c>
      <c r="AI76" s="145">
        <f>SUM(AI77:AI78)</f>
        <v>1400000000</v>
      </c>
      <c r="AJ76" s="145">
        <f>SUM(AJ77:AJ78)</f>
        <v>1359476444.2</v>
      </c>
      <c r="AK76" s="1280">
        <f t="shared" si="55"/>
        <v>0.97105460300000002</v>
      </c>
      <c r="AL76" s="159"/>
      <c r="AM76" s="159"/>
      <c r="AN76" s="482"/>
      <c r="AO76" s="145"/>
      <c r="AP76" s="483"/>
      <c r="AQ76" s="101"/>
    </row>
    <row r="77" spans="1:43" ht="229.5" x14ac:dyDescent="0.25">
      <c r="A77" s="250" t="s">
        <v>563</v>
      </c>
      <c r="B77" s="1344" t="s">
        <v>753</v>
      </c>
      <c r="C77" s="372">
        <v>2</v>
      </c>
      <c r="D77" s="306">
        <v>0</v>
      </c>
      <c r="E77" s="1234">
        <v>2</v>
      </c>
      <c r="F77" s="1232"/>
      <c r="G77" s="1232"/>
      <c r="H77" s="167">
        <f t="shared" si="56"/>
        <v>1</v>
      </c>
      <c r="I77" s="148">
        <v>0</v>
      </c>
      <c r="J77" s="1345"/>
      <c r="K77" s="1345"/>
      <c r="L77" s="1236"/>
      <c r="M77" s="1237"/>
      <c r="N77" s="1238"/>
      <c r="O77" s="1345"/>
      <c r="P77" s="1345"/>
      <c r="Q77" s="1345"/>
      <c r="R77" s="1239"/>
      <c r="S77" s="1345"/>
      <c r="T77" s="1326">
        <v>4</v>
      </c>
      <c r="U77" s="1241">
        <f t="shared" ref="U77:U78" si="57">SUM(E77:F77)</f>
        <v>2</v>
      </c>
      <c r="V77" s="152">
        <f t="shared" ref="V77:V78" si="58">IF(U77/T77&gt;=100%,100%,U77/T77)</f>
        <v>0.5</v>
      </c>
      <c r="W77" s="1346">
        <v>0.8</v>
      </c>
      <c r="X77" s="395">
        <v>0</v>
      </c>
      <c r="Y77" s="1339">
        <v>0</v>
      </c>
      <c r="Z77" s="1244">
        <f>450000000+387503911</f>
        <v>837503911</v>
      </c>
      <c r="AA77" s="1242"/>
      <c r="AB77" s="208" t="e">
        <f t="shared" si="52"/>
        <v>#DIV/0!</v>
      </c>
      <c r="AC77" s="1347"/>
      <c r="AD77" s="1249" t="e">
        <f t="shared" si="53"/>
        <v>#DIV/0!</v>
      </c>
      <c r="AE77" s="1244"/>
      <c r="AF77" s="1242">
        <v>22463300</v>
      </c>
      <c r="AG77" s="1242">
        <v>20152235</v>
      </c>
      <c r="AH77" s="506">
        <f t="shared" si="54"/>
        <v>0.89711818833386014</v>
      </c>
      <c r="AI77" s="1245">
        <v>1000000000</v>
      </c>
      <c r="AJ77" s="1245">
        <f t="shared" ref="AJ77:AJ78" si="59">+SUM(Z77:AA77)</f>
        <v>837503911</v>
      </c>
      <c r="AK77" s="1287">
        <f t="shared" si="55"/>
        <v>0.83750391099999999</v>
      </c>
      <c r="AL77" s="1248"/>
      <c r="AM77" s="1248"/>
      <c r="AN77" s="1249" t="s">
        <v>19</v>
      </c>
      <c r="AO77" s="1348" t="s">
        <v>908</v>
      </c>
      <c r="AP77" s="1250"/>
      <c r="AQ77" s="1251"/>
    </row>
    <row r="78" spans="1:43" ht="229.5" x14ac:dyDescent="0.25">
      <c r="A78" s="250" t="s">
        <v>564</v>
      </c>
      <c r="B78" s="1349" t="s">
        <v>754</v>
      </c>
      <c r="C78" s="372">
        <v>1</v>
      </c>
      <c r="D78" s="306">
        <v>1</v>
      </c>
      <c r="E78" s="1234">
        <v>0</v>
      </c>
      <c r="F78" s="1232">
        <v>0</v>
      </c>
      <c r="G78" s="1232"/>
      <c r="H78" s="167">
        <f t="shared" si="56"/>
        <v>0</v>
      </c>
      <c r="I78" s="148">
        <f t="shared" ref="I78" si="60">IF(F78/D78&gt;=100%,100%,F78/D78)</f>
        <v>0</v>
      </c>
      <c r="J78" s="1345" t="s">
        <v>959</v>
      </c>
      <c r="K78" s="1345"/>
      <c r="L78" s="1236"/>
      <c r="M78" s="1237"/>
      <c r="N78" s="1238"/>
      <c r="O78" s="1345"/>
      <c r="P78" s="1345"/>
      <c r="Q78" s="1345"/>
      <c r="R78" s="1239"/>
      <c r="S78" s="1345"/>
      <c r="T78" s="1241">
        <v>4</v>
      </c>
      <c r="U78" s="1241">
        <f t="shared" si="57"/>
        <v>0</v>
      </c>
      <c r="V78" s="152">
        <f t="shared" si="58"/>
        <v>0</v>
      </c>
      <c r="W78" s="1346">
        <v>0.2</v>
      </c>
      <c r="X78" s="395">
        <v>1</v>
      </c>
      <c r="Y78" s="461">
        <v>523875573</v>
      </c>
      <c r="Z78" s="274">
        <v>0</v>
      </c>
      <c r="AA78" s="1242">
        <v>521972533.19999999</v>
      </c>
      <c r="AB78" s="208">
        <f t="shared" si="52"/>
        <v>0.99636738206917697</v>
      </c>
      <c r="AC78" s="1347">
        <v>265566881</v>
      </c>
      <c r="AD78" s="1240">
        <f t="shared" si="53"/>
        <v>0.50692739781551144</v>
      </c>
      <c r="AE78" s="1247">
        <f>+AA78-AC78</f>
        <v>256405652.19999999</v>
      </c>
      <c r="AF78" s="1242"/>
      <c r="AG78" s="1242"/>
      <c r="AH78" s="506" t="e">
        <f t="shared" si="54"/>
        <v>#DIV/0!</v>
      </c>
      <c r="AI78" s="1245">
        <v>400000000</v>
      </c>
      <c r="AJ78" s="1245">
        <f t="shared" si="59"/>
        <v>521972533.19999999</v>
      </c>
      <c r="AK78" s="1287">
        <f t="shared" si="55"/>
        <v>1.3049313329999999</v>
      </c>
      <c r="AL78" s="1248"/>
      <c r="AM78" s="1248"/>
      <c r="AN78" s="1249" t="s">
        <v>19</v>
      </c>
      <c r="AO78" s="1348" t="s">
        <v>908</v>
      </c>
      <c r="AP78" s="1250"/>
      <c r="AQ78" s="1251"/>
    </row>
    <row r="79" spans="1:43" ht="38.25" x14ac:dyDescent="0.25">
      <c r="A79" s="1201" t="s">
        <v>431</v>
      </c>
      <c r="B79" s="1202"/>
      <c r="C79" s="1203"/>
      <c r="D79" s="1204"/>
      <c r="E79" s="1205"/>
      <c r="F79" s="1203"/>
      <c r="G79" s="1203"/>
      <c r="H79" s="1206">
        <f>+(H80*70%)+(H92*0%)+(H97*30%)</f>
        <v>0.57299999999999995</v>
      </c>
      <c r="I79" s="1260">
        <f>+(I80*X80)+(I92*X92)+(I97*X97)</f>
        <v>0.74799999999999989</v>
      </c>
      <c r="J79" s="1207"/>
      <c r="K79" s="1207"/>
      <c r="L79" s="1207"/>
      <c r="M79" s="1208"/>
      <c r="N79" s="1208"/>
      <c r="O79" s="1207"/>
      <c r="P79" s="1207"/>
      <c r="Q79" s="1207"/>
      <c r="R79" s="1310"/>
      <c r="S79" s="1207"/>
      <c r="T79" s="1210"/>
      <c r="U79" s="1211"/>
      <c r="V79" s="1212">
        <f>+(V80*W80)+(V92*W92)+(V97*W97)</f>
        <v>0.27505737704918032</v>
      </c>
      <c r="W79" s="1213">
        <v>0.4</v>
      </c>
      <c r="X79" s="1214">
        <v>0.4</v>
      </c>
      <c r="Y79" s="1215">
        <f>+Y80+Y92+Y97</f>
        <v>2842000000</v>
      </c>
      <c r="Z79" s="1215">
        <f>+Z80+Z92+Z97</f>
        <v>213135000</v>
      </c>
      <c r="AA79" s="1215">
        <f>+AA80+AA92+AA97</f>
        <v>2513740137</v>
      </c>
      <c r="AB79" s="1216">
        <f t="shared" si="52"/>
        <v>0.88449688142153415</v>
      </c>
      <c r="AC79" s="1215">
        <f>+AC80+AC92+AC97</f>
        <v>1959280320</v>
      </c>
      <c r="AD79" s="1218">
        <f t="shared" si="53"/>
        <v>0.68940194229415908</v>
      </c>
      <c r="AE79" s="1215">
        <f>+AE80+AE92+AE97</f>
        <v>554459817</v>
      </c>
      <c r="AF79" s="1215">
        <f>+AF80+AF92+AF97</f>
        <v>110935000</v>
      </c>
      <c r="AG79" s="1215">
        <f>+AG80+AG92+AG97</f>
        <v>110935000</v>
      </c>
      <c r="AH79" s="1219">
        <f t="shared" si="54"/>
        <v>1</v>
      </c>
      <c r="AI79" s="1215">
        <f t="shared" ref="AI79:AJ79" si="61">+AI80+AI92+AI97</f>
        <v>12120000000</v>
      </c>
      <c r="AJ79" s="1215">
        <f t="shared" si="61"/>
        <v>2726875137</v>
      </c>
      <c r="AK79" s="1265">
        <f t="shared" si="55"/>
        <v>0.22498969777227723</v>
      </c>
      <c r="AL79" s="1221"/>
      <c r="AM79" s="1221" t="s">
        <v>294</v>
      </c>
      <c r="AN79" s="1222"/>
      <c r="AO79" s="1215"/>
      <c r="AP79" s="1223"/>
      <c r="AQ79" s="1224"/>
    </row>
    <row r="80" spans="1:43" ht="13.5" thickBot="1" x14ac:dyDescent="0.3">
      <c r="A80" s="241" t="s">
        <v>465</v>
      </c>
      <c r="B80" s="140"/>
      <c r="C80" s="141"/>
      <c r="D80" s="187"/>
      <c r="E80" s="181"/>
      <c r="F80" s="141"/>
      <c r="G80" s="141"/>
      <c r="H80" s="142">
        <f>+(H81*39%)+(H88*32%)+(H90*29%)</f>
        <v>0.39</v>
      </c>
      <c r="I80" s="142">
        <f>+SUMPRODUCT(I81:I91,X81:X91)</f>
        <v>0.64</v>
      </c>
      <c r="J80" s="143"/>
      <c r="K80" s="143"/>
      <c r="L80" s="143"/>
      <c r="M80" s="144"/>
      <c r="N80" s="144"/>
      <c r="O80" s="143"/>
      <c r="P80" s="143"/>
      <c r="Q80" s="143"/>
      <c r="R80" s="158"/>
      <c r="S80" s="143"/>
      <c r="T80" s="1226"/>
      <c r="U80" s="201"/>
      <c r="V80" s="165">
        <f>+SUMPRODUCT(V81:V91,W81:W91)</f>
        <v>0.155</v>
      </c>
      <c r="W80" s="142">
        <v>0.7</v>
      </c>
      <c r="X80" s="394">
        <v>0.7</v>
      </c>
      <c r="Y80" s="145">
        <f>SUM(Y81:Y91)</f>
        <v>2012000000</v>
      </c>
      <c r="Z80" s="145">
        <f>SUM(Z81:Z91)</f>
        <v>124485000</v>
      </c>
      <c r="AA80" s="145">
        <f>SUM(AA81:AA91)</f>
        <v>1702980006</v>
      </c>
      <c r="AB80" s="207">
        <f t="shared" si="52"/>
        <v>0.84641153379721668</v>
      </c>
      <c r="AC80" s="145">
        <f>SUM(AC81:AC91)</f>
        <v>1488878058</v>
      </c>
      <c r="AD80" s="1225">
        <f t="shared" si="53"/>
        <v>0.73999903479125251</v>
      </c>
      <c r="AE80" s="145">
        <f>SUM(AE81:AE91)</f>
        <v>214101948</v>
      </c>
      <c r="AF80" s="145">
        <f>SUM(AF81:AF91)</f>
        <v>92985000</v>
      </c>
      <c r="AG80" s="145">
        <f>SUM(AG81:AG91)</f>
        <v>92985000</v>
      </c>
      <c r="AH80" s="505">
        <f t="shared" si="54"/>
        <v>1</v>
      </c>
      <c r="AI80" s="145">
        <f t="shared" ref="AI80:AJ80" si="62">SUM(AI81:AI91)</f>
        <v>10160000000</v>
      </c>
      <c r="AJ80" s="145">
        <f t="shared" si="62"/>
        <v>1827465006</v>
      </c>
      <c r="AK80" s="1271">
        <f t="shared" si="55"/>
        <v>0.17986860295275592</v>
      </c>
      <c r="AL80" s="159"/>
      <c r="AM80" s="159"/>
      <c r="AN80" s="482"/>
      <c r="AO80" s="145"/>
      <c r="AP80" s="483"/>
      <c r="AQ80" s="101"/>
    </row>
    <row r="81" spans="1:43" ht="102" x14ac:dyDescent="0.25">
      <c r="A81" s="1350" t="s">
        <v>565</v>
      </c>
      <c r="B81" s="342" t="s">
        <v>757</v>
      </c>
      <c r="C81" s="369">
        <v>1</v>
      </c>
      <c r="D81" s="303">
        <v>2</v>
      </c>
      <c r="E81" s="1234">
        <v>0</v>
      </c>
      <c r="F81" s="1232">
        <v>0</v>
      </c>
      <c r="G81" s="1232">
        <v>1</v>
      </c>
      <c r="H81" s="167">
        <f t="shared" ref="H81:H91" si="63">IF((E81+G81)/C81&gt;=100%,100%,(E81+G81)/C81)</f>
        <v>1</v>
      </c>
      <c r="I81" s="148">
        <f t="shared" ref="I81:I91" si="64">IF(F81/D81&gt;=100%,100%,F81/D81)</f>
        <v>0</v>
      </c>
      <c r="J81" s="1235" t="s">
        <v>1487</v>
      </c>
      <c r="K81" s="1235"/>
      <c r="L81" s="1236"/>
      <c r="M81" s="1237"/>
      <c r="N81" s="1238"/>
      <c r="O81" s="1235"/>
      <c r="P81" s="1235"/>
      <c r="Q81" s="1235"/>
      <c r="R81" s="1239"/>
      <c r="S81" s="1235"/>
      <c r="T81" s="1241">
        <v>3</v>
      </c>
      <c r="U81" s="1241">
        <f>SUM(E81:F81)</f>
        <v>0</v>
      </c>
      <c r="V81" s="152">
        <f>IF(U81/T81&gt;=100%,100%,U81/T81)</f>
        <v>0</v>
      </c>
      <c r="W81" s="1351">
        <v>0.1</v>
      </c>
      <c r="X81" s="395">
        <v>0.2</v>
      </c>
      <c r="Y81" s="462">
        <v>550000000</v>
      </c>
      <c r="Z81" s="274">
        <v>80985000</v>
      </c>
      <c r="AA81" s="1242">
        <v>541127629</v>
      </c>
      <c r="AB81" s="208">
        <f t="shared" si="52"/>
        <v>0.98386841636363631</v>
      </c>
      <c r="AC81" s="1347">
        <v>533734832</v>
      </c>
      <c r="AD81" s="1240">
        <f t="shared" si="53"/>
        <v>0.97042696727272726</v>
      </c>
      <c r="AE81" s="1247">
        <f>+AA81-AC81</f>
        <v>7392797</v>
      </c>
      <c r="AF81" s="1242">
        <v>49485000</v>
      </c>
      <c r="AG81" s="1242">
        <v>49485000</v>
      </c>
      <c r="AH81" s="506">
        <f t="shared" si="54"/>
        <v>1</v>
      </c>
      <c r="AI81" s="1255">
        <v>960000000</v>
      </c>
      <c r="AJ81" s="1255">
        <f>+SUM(Z81:AA81)</f>
        <v>622112629</v>
      </c>
      <c r="AK81" s="1287">
        <f t="shared" si="55"/>
        <v>0.64803398854166672</v>
      </c>
      <c r="AL81" s="1248"/>
      <c r="AM81" s="1248"/>
      <c r="AN81" s="1249" t="s">
        <v>14</v>
      </c>
      <c r="AO81" s="486" t="s">
        <v>906</v>
      </c>
      <c r="AP81" s="1250"/>
      <c r="AQ81" s="1251"/>
    </row>
    <row r="82" spans="1:43" ht="102" x14ac:dyDescent="0.25">
      <c r="A82" s="251" t="s">
        <v>566</v>
      </c>
      <c r="B82" s="342" t="s">
        <v>758</v>
      </c>
      <c r="C82" s="369">
        <v>0</v>
      </c>
      <c r="D82" s="303">
        <v>0</v>
      </c>
      <c r="E82" s="1234">
        <v>0</v>
      </c>
      <c r="F82" s="1232"/>
      <c r="G82" s="1232"/>
      <c r="H82" s="167" t="e">
        <f t="shared" si="63"/>
        <v>#DIV/0!</v>
      </c>
      <c r="I82" s="148">
        <v>0</v>
      </c>
      <c r="J82" s="1235"/>
      <c r="K82" s="1235"/>
      <c r="L82" s="1236"/>
      <c r="M82" s="1237"/>
      <c r="N82" s="1238"/>
      <c r="O82" s="1235"/>
      <c r="P82" s="1235"/>
      <c r="Q82" s="1235"/>
      <c r="R82" s="1239"/>
      <c r="S82" s="1235"/>
      <c r="T82" s="1241">
        <v>3</v>
      </c>
      <c r="U82" s="1241">
        <f t="shared" ref="U82:U84" si="65">SUM(E82:F82)</f>
        <v>0</v>
      </c>
      <c r="V82" s="152">
        <f t="shared" ref="V82:V84" si="66">IF(U82/T82&gt;=100%,100%,U82/T82)</f>
        <v>0</v>
      </c>
      <c r="W82" s="404">
        <v>0.13</v>
      </c>
      <c r="X82" s="395">
        <v>0</v>
      </c>
      <c r="Y82" s="463">
        <v>0</v>
      </c>
      <c r="Z82" s="274">
        <v>0</v>
      </c>
      <c r="AA82" s="1242"/>
      <c r="AB82" s="208" t="e">
        <f t="shared" si="52"/>
        <v>#DIV/0!</v>
      </c>
      <c r="AC82" s="1347"/>
      <c r="AD82" s="1249" t="e">
        <f t="shared" si="53"/>
        <v>#DIV/0!</v>
      </c>
      <c r="AE82" s="1244"/>
      <c r="AF82" s="1242"/>
      <c r="AG82" s="1242"/>
      <c r="AH82" s="506" t="e">
        <f t="shared" si="54"/>
        <v>#DIV/0!</v>
      </c>
      <c r="AI82" s="1255">
        <v>1200000000</v>
      </c>
      <c r="AJ82" s="1255">
        <f t="shared" ref="AJ82:AJ91" si="67">+SUM(Z82:AA82)</f>
        <v>0</v>
      </c>
      <c r="AK82" s="1272">
        <f t="shared" si="55"/>
        <v>0</v>
      </c>
      <c r="AL82" s="1248"/>
      <c r="AM82" s="1248"/>
      <c r="AN82" s="1249" t="s">
        <v>14</v>
      </c>
      <c r="AO82" s="486" t="s">
        <v>906</v>
      </c>
      <c r="AP82" s="1250"/>
      <c r="AQ82" s="1251"/>
    </row>
    <row r="83" spans="1:43" ht="102.75" thickBot="1" x14ac:dyDescent="0.3">
      <c r="A83" s="251" t="s">
        <v>567</v>
      </c>
      <c r="B83" s="342" t="s">
        <v>759</v>
      </c>
      <c r="C83" s="369">
        <v>0</v>
      </c>
      <c r="D83" s="303">
        <v>0</v>
      </c>
      <c r="E83" s="1234">
        <v>0</v>
      </c>
      <c r="F83" s="1232"/>
      <c r="G83" s="1232"/>
      <c r="H83" s="167" t="e">
        <f t="shared" si="63"/>
        <v>#DIV/0!</v>
      </c>
      <c r="I83" s="148">
        <v>0</v>
      </c>
      <c r="J83" s="1235"/>
      <c r="K83" s="1235"/>
      <c r="L83" s="1236"/>
      <c r="M83" s="1237"/>
      <c r="N83" s="1238"/>
      <c r="O83" s="1235"/>
      <c r="P83" s="1235"/>
      <c r="Q83" s="1235"/>
      <c r="R83" s="1239"/>
      <c r="S83" s="1235"/>
      <c r="T83" s="1241">
        <v>200</v>
      </c>
      <c r="U83" s="1241">
        <f t="shared" si="65"/>
        <v>0</v>
      </c>
      <c r="V83" s="152">
        <f t="shared" si="66"/>
        <v>0</v>
      </c>
      <c r="W83" s="404">
        <v>0.1</v>
      </c>
      <c r="X83" s="395">
        <v>0</v>
      </c>
      <c r="Y83" s="1352">
        <v>92000000</v>
      </c>
      <c r="Z83" s="1253">
        <v>43500000</v>
      </c>
      <c r="AA83" s="1242">
        <v>57995812</v>
      </c>
      <c r="AB83" s="208">
        <f t="shared" si="52"/>
        <v>0.63038926086956526</v>
      </c>
      <c r="AC83" s="1347">
        <v>36224932</v>
      </c>
      <c r="AD83" s="1249">
        <f t="shared" si="53"/>
        <v>0.39374926086956524</v>
      </c>
      <c r="AE83" s="1247">
        <f>+AA83-AC83</f>
        <v>21770880</v>
      </c>
      <c r="AF83" s="1242">
        <v>43500000</v>
      </c>
      <c r="AG83" s="1242">
        <v>43500000</v>
      </c>
      <c r="AH83" s="506">
        <f t="shared" si="54"/>
        <v>1</v>
      </c>
      <c r="AI83" s="1255">
        <v>1000000000</v>
      </c>
      <c r="AJ83" s="1255">
        <f t="shared" si="67"/>
        <v>101495812</v>
      </c>
      <c r="AK83" s="1272">
        <f t="shared" si="55"/>
        <v>0.101495812</v>
      </c>
      <c r="AL83" s="1248"/>
      <c r="AM83" s="1248"/>
      <c r="AN83" s="1249" t="s">
        <v>18</v>
      </c>
      <c r="AO83" s="486" t="s">
        <v>906</v>
      </c>
      <c r="AP83" s="1250"/>
      <c r="AQ83" s="1251"/>
    </row>
    <row r="84" spans="1:43" ht="102" x14ac:dyDescent="0.25">
      <c r="A84" s="251" t="s">
        <v>568</v>
      </c>
      <c r="B84" s="343" t="s">
        <v>755</v>
      </c>
      <c r="C84" s="369">
        <v>0</v>
      </c>
      <c r="D84" s="303">
        <v>0</v>
      </c>
      <c r="E84" s="1234">
        <v>0</v>
      </c>
      <c r="F84" s="1232"/>
      <c r="G84" s="1232"/>
      <c r="H84" s="167" t="e">
        <f t="shared" si="63"/>
        <v>#DIV/0!</v>
      </c>
      <c r="I84" s="148">
        <v>0</v>
      </c>
      <c r="J84" s="1235"/>
      <c r="K84" s="1235"/>
      <c r="L84" s="1236"/>
      <c r="M84" s="1237"/>
      <c r="N84" s="1238"/>
      <c r="O84" s="1235"/>
      <c r="P84" s="1235"/>
      <c r="Q84" s="1235"/>
      <c r="R84" s="1239"/>
      <c r="S84" s="1235"/>
      <c r="T84" s="1241">
        <v>100</v>
      </c>
      <c r="U84" s="1241">
        <f t="shared" si="65"/>
        <v>0</v>
      </c>
      <c r="V84" s="152">
        <f t="shared" si="66"/>
        <v>0</v>
      </c>
      <c r="W84" s="404">
        <v>0.18</v>
      </c>
      <c r="X84" s="395">
        <v>0</v>
      </c>
      <c r="Y84" s="463">
        <v>0</v>
      </c>
      <c r="Z84" s="274">
        <v>0</v>
      </c>
      <c r="AA84" s="1242"/>
      <c r="AB84" s="208" t="e">
        <f t="shared" si="52"/>
        <v>#DIV/0!</v>
      </c>
      <c r="AC84" s="1347"/>
      <c r="AD84" s="1249" t="e">
        <f t="shared" si="53"/>
        <v>#DIV/0!</v>
      </c>
      <c r="AE84" s="1244"/>
      <c r="AF84" s="1242"/>
      <c r="AG84" s="1242"/>
      <c r="AH84" s="506" t="e">
        <f t="shared" si="54"/>
        <v>#DIV/0!</v>
      </c>
      <c r="AI84" s="1255">
        <v>1700000000</v>
      </c>
      <c r="AJ84" s="1255">
        <f t="shared" si="67"/>
        <v>0</v>
      </c>
      <c r="AK84" s="1272">
        <f t="shared" si="55"/>
        <v>0</v>
      </c>
      <c r="AL84" s="1248"/>
      <c r="AM84" s="1248"/>
      <c r="AN84" s="1249" t="s">
        <v>302</v>
      </c>
      <c r="AO84" s="486" t="s">
        <v>911</v>
      </c>
      <c r="AP84" s="1250"/>
      <c r="AQ84" s="1251"/>
    </row>
    <row r="85" spans="1:43" ht="102" x14ac:dyDescent="0.25">
      <c r="A85" s="251" t="s">
        <v>569</v>
      </c>
      <c r="B85" s="342" t="s">
        <v>760</v>
      </c>
      <c r="C85" s="369">
        <v>0</v>
      </c>
      <c r="D85" s="303">
        <v>0</v>
      </c>
      <c r="E85" s="1234">
        <v>0</v>
      </c>
      <c r="F85" s="1232"/>
      <c r="G85" s="1232"/>
      <c r="H85" s="167" t="e">
        <f t="shared" si="63"/>
        <v>#DIV/0!</v>
      </c>
      <c r="I85" s="148">
        <v>0</v>
      </c>
      <c r="J85" s="1235"/>
      <c r="K85" s="1235"/>
      <c r="L85" s="1236"/>
      <c r="M85" s="1237"/>
      <c r="N85" s="1238"/>
      <c r="O85" s="1235"/>
      <c r="P85" s="1235"/>
      <c r="Q85" s="1235"/>
      <c r="R85" s="1239"/>
      <c r="S85" s="1235"/>
      <c r="T85" s="1241">
        <v>1500</v>
      </c>
      <c r="U85" s="1241">
        <f>SUM(E85:F85)</f>
        <v>0</v>
      </c>
      <c r="V85" s="152">
        <f>IF(U85/T85&gt;=100%,100%,U85/T85)</f>
        <v>0</v>
      </c>
      <c r="W85" s="404">
        <v>0.1</v>
      </c>
      <c r="X85" s="395">
        <v>0</v>
      </c>
      <c r="Y85" s="463">
        <v>0</v>
      </c>
      <c r="Z85" s="274">
        <v>0</v>
      </c>
      <c r="AA85" s="1242"/>
      <c r="AB85" s="208" t="e">
        <f t="shared" si="52"/>
        <v>#DIV/0!</v>
      </c>
      <c r="AC85" s="1347"/>
      <c r="AD85" s="1249" t="e">
        <f t="shared" si="53"/>
        <v>#DIV/0!</v>
      </c>
      <c r="AE85" s="1244"/>
      <c r="AF85" s="1242"/>
      <c r="AG85" s="1242"/>
      <c r="AH85" s="506" t="e">
        <f t="shared" si="54"/>
        <v>#DIV/0!</v>
      </c>
      <c r="AI85" s="1255">
        <v>1200000000</v>
      </c>
      <c r="AJ85" s="1255">
        <f t="shared" si="67"/>
        <v>0</v>
      </c>
      <c r="AK85" s="1272">
        <f t="shared" si="55"/>
        <v>0</v>
      </c>
      <c r="AL85" s="1248"/>
      <c r="AM85" s="1248"/>
      <c r="AN85" s="1249" t="s">
        <v>11</v>
      </c>
      <c r="AO85" s="486" t="s">
        <v>911</v>
      </c>
      <c r="AP85" s="1250"/>
      <c r="AQ85" s="1251"/>
    </row>
    <row r="86" spans="1:43" ht="102" x14ac:dyDescent="0.25">
      <c r="A86" s="251" t="s">
        <v>570</v>
      </c>
      <c r="B86" s="342" t="s">
        <v>761</v>
      </c>
      <c r="C86" s="369">
        <v>0</v>
      </c>
      <c r="D86" s="303">
        <v>0</v>
      </c>
      <c r="E86" s="1234">
        <v>0</v>
      </c>
      <c r="F86" s="1232"/>
      <c r="G86" s="1232"/>
      <c r="H86" s="167" t="e">
        <f t="shared" si="63"/>
        <v>#DIV/0!</v>
      </c>
      <c r="I86" s="148">
        <v>0</v>
      </c>
      <c r="J86" s="1235"/>
      <c r="K86" s="1235"/>
      <c r="L86" s="1236"/>
      <c r="M86" s="1237"/>
      <c r="N86" s="1238"/>
      <c r="O86" s="1235"/>
      <c r="P86" s="1235"/>
      <c r="Q86" s="1235"/>
      <c r="R86" s="1239"/>
      <c r="S86" s="1235"/>
      <c r="T86" s="1241">
        <v>4</v>
      </c>
      <c r="U86" s="1241">
        <f t="shared" ref="U86:U87" si="68">SUM(E86:F86)</f>
        <v>0</v>
      </c>
      <c r="V86" s="152">
        <f t="shared" ref="V86:V87" si="69">IF(U86/T86&gt;=100%,100%,U86/T86)</f>
        <v>0</v>
      </c>
      <c r="W86" s="404">
        <v>0.08</v>
      </c>
      <c r="X86" s="395">
        <v>0</v>
      </c>
      <c r="Y86" s="463">
        <v>0</v>
      </c>
      <c r="Z86" s="274">
        <v>0</v>
      </c>
      <c r="AA86" s="1242"/>
      <c r="AB86" s="208" t="e">
        <f t="shared" si="52"/>
        <v>#DIV/0!</v>
      </c>
      <c r="AC86" s="1347"/>
      <c r="AD86" s="1249" t="e">
        <f t="shared" si="53"/>
        <v>#DIV/0!</v>
      </c>
      <c r="AE86" s="1244"/>
      <c r="AF86" s="1242"/>
      <c r="AG86" s="1242"/>
      <c r="AH86" s="506" t="e">
        <f t="shared" si="54"/>
        <v>#DIV/0!</v>
      </c>
      <c r="AI86" s="1255">
        <v>1200000000</v>
      </c>
      <c r="AJ86" s="1255">
        <f t="shared" si="67"/>
        <v>0</v>
      </c>
      <c r="AK86" s="1272">
        <f t="shared" si="55"/>
        <v>0</v>
      </c>
      <c r="AL86" s="1248"/>
      <c r="AM86" s="1248"/>
      <c r="AN86" s="1249" t="s">
        <v>14</v>
      </c>
      <c r="AO86" s="486" t="s">
        <v>906</v>
      </c>
      <c r="AP86" s="1250"/>
      <c r="AQ86" s="1251"/>
    </row>
    <row r="87" spans="1:43" ht="140.25" x14ac:dyDescent="0.25">
      <c r="A87" s="251" t="s">
        <v>571</v>
      </c>
      <c r="B87" s="342" t="s">
        <v>762</v>
      </c>
      <c r="C87" s="369">
        <v>0</v>
      </c>
      <c r="D87" s="303">
        <v>2</v>
      </c>
      <c r="E87" s="1234">
        <v>0</v>
      </c>
      <c r="F87" s="1232">
        <v>2</v>
      </c>
      <c r="G87" s="1232"/>
      <c r="H87" s="167" t="e">
        <f t="shared" si="63"/>
        <v>#DIV/0!</v>
      </c>
      <c r="I87" s="148">
        <f t="shared" si="64"/>
        <v>1</v>
      </c>
      <c r="J87" s="1235" t="s">
        <v>960</v>
      </c>
      <c r="K87" s="1235"/>
      <c r="L87" s="1236"/>
      <c r="M87" s="1237"/>
      <c r="N87" s="1238"/>
      <c r="O87" s="1235"/>
      <c r="P87" s="1235"/>
      <c r="Q87" s="1235"/>
      <c r="R87" s="1239"/>
      <c r="S87" s="1235"/>
      <c r="T87" s="1241">
        <v>4</v>
      </c>
      <c r="U87" s="1241">
        <f t="shared" si="68"/>
        <v>2</v>
      </c>
      <c r="V87" s="152">
        <f t="shared" si="69"/>
        <v>0.5</v>
      </c>
      <c r="W87" s="404">
        <v>0.08</v>
      </c>
      <c r="X87" s="395">
        <v>0.16</v>
      </c>
      <c r="Y87" s="462">
        <v>300000000</v>
      </c>
      <c r="Z87" s="274">
        <v>0</v>
      </c>
      <c r="AA87" s="1242">
        <v>295651488</v>
      </c>
      <c r="AB87" s="208">
        <f t="shared" si="52"/>
        <v>0.98550495999999999</v>
      </c>
      <c r="AC87" s="1347">
        <v>163351145</v>
      </c>
      <c r="AD87" s="1240">
        <f t="shared" si="53"/>
        <v>0.5445038166666667</v>
      </c>
      <c r="AE87" s="1247">
        <f>+AA87-AC87</f>
        <v>132300343</v>
      </c>
      <c r="AF87" s="1242"/>
      <c r="AG87" s="1242"/>
      <c r="AH87" s="506" t="e">
        <f t="shared" si="54"/>
        <v>#DIV/0!</v>
      </c>
      <c r="AI87" s="1255">
        <v>800000000</v>
      </c>
      <c r="AJ87" s="1255">
        <f>+SUM(Z87:AA87)</f>
        <v>295651488</v>
      </c>
      <c r="AK87" s="1272">
        <f t="shared" si="55"/>
        <v>0.36956435999999998</v>
      </c>
      <c r="AL87" s="1248"/>
      <c r="AM87" s="1248"/>
      <c r="AN87" s="1249" t="s">
        <v>14</v>
      </c>
      <c r="AO87" s="486" t="s">
        <v>896</v>
      </c>
      <c r="AP87" s="1250"/>
      <c r="AQ87" s="1251"/>
    </row>
    <row r="88" spans="1:43" ht="127.5" x14ac:dyDescent="0.25">
      <c r="A88" s="251" t="s">
        <v>1488</v>
      </c>
      <c r="B88" s="342" t="s">
        <v>763</v>
      </c>
      <c r="C88" s="369">
        <v>2</v>
      </c>
      <c r="D88" s="303">
        <v>2</v>
      </c>
      <c r="E88" s="1234">
        <v>0</v>
      </c>
      <c r="F88" s="1232">
        <v>2</v>
      </c>
      <c r="G88" s="1232">
        <v>0</v>
      </c>
      <c r="H88" s="167">
        <f t="shared" si="63"/>
        <v>0</v>
      </c>
      <c r="I88" s="148">
        <f t="shared" si="64"/>
        <v>1</v>
      </c>
      <c r="J88" s="1235" t="s">
        <v>1489</v>
      </c>
      <c r="K88" s="1235"/>
      <c r="L88" s="1236"/>
      <c r="M88" s="1237"/>
      <c r="N88" s="1238"/>
      <c r="O88" s="1235"/>
      <c r="P88" s="1235"/>
      <c r="Q88" s="1235"/>
      <c r="R88" s="1239"/>
      <c r="S88" s="1235"/>
      <c r="T88" s="1241">
        <v>4</v>
      </c>
      <c r="U88" s="1241">
        <f>SUM(E88:F88)</f>
        <v>2</v>
      </c>
      <c r="V88" s="152">
        <f>IF(U88/T88&gt;=100%,100%,U88/T88)</f>
        <v>0.5</v>
      </c>
      <c r="W88" s="404">
        <v>0.08</v>
      </c>
      <c r="X88" s="395">
        <v>0.16</v>
      </c>
      <c r="Y88" s="462">
        <v>350000000</v>
      </c>
      <c r="Z88" s="274">
        <v>0</v>
      </c>
      <c r="AA88" s="1242">
        <v>345340879</v>
      </c>
      <c r="AB88" s="208">
        <f t="shared" si="52"/>
        <v>0.98668822571428572</v>
      </c>
      <c r="AC88" s="1347">
        <v>313958452</v>
      </c>
      <c r="AD88" s="1240">
        <f t="shared" si="53"/>
        <v>0.89702414857142854</v>
      </c>
      <c r="AE88" s="1247">
        <f>+AA88-AC88</f>
        <v>31382427</v>
      </c>
      <c r="AF88" s="1242"/>
      <c r="AG88" s="1242"/>
      <c r="AH88" s="506" t="e">
        <f t="shared" si="54"/>
        <v>#DIV/0!</v>
      </c>
      <c r="AI88" s="1255">
        <v>800000000</v>
      </c>
      <c r="AJ88" s="1255">
        <f t="shared" si="67"/>
        <v>345340879</v>
      </c>
      <c r="AK88" s="1272">
        <f t="shared" si="55"/>
        <v>0.43167609875000001</v>
      </c>
      <c r="AL88" s="1248"/>
      <c r="AM88" s="1248"/>
      <c r="AN88" s="1249" t="s">
        <v>14</v>
      </c>
      <c r="AO88" s="486" t="s">
        <v>906</v>
      </c>
      <c r="AP88" s="1250"/>
      <c r="AQ88" s="1251"/>
    </row>
    <row r="89" spans="1:43" ht="165.75" x14ac:dyDescent="0.25">
      <c r="A89" s="251" t="s">
        <v>572</v>
      </c>
      <c r="B89" s="342" t="s">
        <v>764</v>
      </c>
      <c r="C89" s="369">
        <v>0</v>
      </c>
      <c r="D89" s="303">
        <v>2</v>
      </c>
      <c r="E89" s="1234">
        <v>0</v>
      </c>
      <c r="F89" s="1232">
        <v>2</v>
      </c>
      <c r="G89" s="1232"/>
      <c r="H89" s="167" t="e">
        <f t="shared" si="63"/>
        <v>#DIV/0!</v>
      </c>
      <c r="I89" s="148">
        <f t="shared" si="64"/>
        <v>1</v>
      </c>
      <c r="J89" s="1235" t="s">
        <v>961</v>
      </c>
      <c r="K89" s="1235"/>
      <c r="L89" s="1236"/>
      <c r="M89" s="1237"/>
      <c r="N89" s="1238"/>
      <c r="O89" s="1235"/>
      <c r="P89" s="1235"/>
      <c r="Q89" s="1235"/>
      <c r="R89" s="1239"/>
      <c r="S89" s="1235"/>
      <c r="T89" s="1241">
        <v>2</v>
      </c>
      <c r="U89" s="1241">
        <f t="shared" ref="U89:U91" si="70">SUM(E89:F89)</f>
        <v>2</v>
      </c>
      <c r="V89" s="152">
        <f t="shared" ref="V89:V91" si="71">IF(U89/T89&gt;=100%,100%,U89/T89)</f>
        <v>1</v>
      </c>
      <c r="W89" s="404">
        <v>0.05</v>
      </c>
      <c r="X89" s="395">
        <v>0.16</v>
      </c>
      <c r="Y89" s="462">
        <v>300000000</v>
      </c>
      <c r="Z89" s="274">
        <v>0</v>
      </c>
      <c r="AA89" s="1242">
        <v>247208620</v>
      </c>
      <c r="AB89" s="208">
        <f t="shared" si="52"/>
        <v>0.82402873333333337</v>
      </c>
      <c r="AC89" s="1347">
        <v>238066644</v>
      </c>
      <c r="AD89" s="1240">
        <f t="shared" si="53"/>
        <v>0.79355547999999998</v>
      </c>
      <c r="AE89" s="1247">
        <f>+AA89-AC89</f>
        <v>9141976</v>
      </c>
      <c r="AF89" s="1242"/>
      <c r="AG89" s="1242"/>
      <c r="AH89" s="506" t="e">
        <f t="shared" si="54"/>
        <v>#DIV/0!</v>
      </c>
      <c r="AI89" s="1255">
        <v>400000000</v>
      </c>
      <c r="AJ89" s="1255">
        <f t="shared" si="67"/>
        <v>247208620</v>
      </c>
      <c r="AK89" s="1287">
        <f t="shared" si="55"/>
        <v>0.61802155000000003</v>
      </c>
      <c r="AL89" s="1248"/>
      <c r="AM89" s="1248"/>
      <c r="AN89" s="1249" t="s">
        <v>14</v>
      </c>
      <c r="AO89" s="486" t="s">
        <v>909</v>
      </c>
      <c r="AP89" s="1250"/>
      <c r="AQ89" s="1251"/>
    </row>
    <row r="90" spans="1:43" ht="102.75" thickBot="1" x14ac:dyDescent="0.3">
      <c r="A90" s="251" t="s">
        <v>573</v>
      </c>
      <c r="B90" s="342" t="s">
        <v>765</v>
      </c>
      <c r="C90" s="369">
        <v>1</v>
      </c>
      <c r="D90" s="303">
        <v>1</v>
      </c>
      <c r="E90" s="1234">
        <v>0</v>
      </c>
      <c r="F90" s="1232">
        <v>0</v>
      </c>
      <c r="G90" s="1232">
        <v>0</v>
      </c>
      <c r="H90" s="167">
        <f t="shared" si="63"/>
        <v>0</v>
      </c>
      <c r="I90" s="148">
        <f t="shared" si="64"/>
        <v>0</v>
      </c>
      <c r="J90" s="1235" t="s">
        <v>962</v>
      </c>
      <c r="K90" s="1235"/>
      <c r="L90" s="1236"/>
      <c r="M90" s="1237"/>
      <c r="N90" s="1238"/>
      <c r="O90" s="1235"/>
      <c r="P90" s="1235"/>
      <c r="Q90" s="1235"/>
      <c r="R90" s="1239"/>
      <c r="S90" s="1235"/>
      <c r="T90" s="1241">
        <v>2</v>
      </c>
      <c r="U90" s="1241">
        <f t="shared" si="70"/>
        <v>0</v>
      </c>
      <c r="V90" s="152">
        <f t="shared" si="71"/>
        <v>0</v>
      </c>
      <c r="W90" s="404">
        <v>0.05</v>
      </c>
      <c r="X90" s="395">
        <v>0.16</v>
      </c>
      <c r="Y90" s="462">
        <v>220000000</v>
      </c>
      <c r="Z90" s="274">
        <v>0</v>
      </c>
      <c r="AA90" s="1242">
        <v>18451051</v>
      </c>
      <c r="AB90" s="208">
        <f t="shared" si="52"/>
        <v>8.3868413636363631E-2</v>
      </c>
      <c r="AC90" s="1347">
        <v>11676317</v>
      </c>
      <c r="AD90" s="1249">
        <f t="shared" si="53"/>
        <v>5.3074168181818183E-2</v>
      </c>
      <c r="AE90" s="1247">
        <f>+AA90-AC90</f>
        <v>6774734</v>
      </c>
      <c r="AF90" s="1242"/>
      <c r="AG90" s="1242"/>
      <c r="AH90" s="506" t="e">
        <f t="shared" si="54"/>
        <v>#DIV/0!</v>
      </c>
      <c r="AI90" s="1255">
        <v>500000000</v>
      </c>
      <c r="AJ90" s="1255">
        <f>+SUM(Z90:AA90)</f>
        <v>18451051</v>
      </c>
      <c r="AK90" s="1272">
        <f t="shared" si="55"/>
        <v>3.6902101999999999E-2</v>
      </c>
      <c r="AL90" s="1248"/>
      <c r="AM90" s="1248"/>
      <c r="AN90" s="1249" t="s">
        <v>14</v>
      </c>
      <c r="AO90" s="1880" t="s">
        <v>909</v>
      </c>
      <c r="AP90" s="1250"/>
      <c r="AQ90" s="1251"/>
    </row>
    <row r="91" spans="1:43" ht="140.25" x14ac:dyDescent="0.25">
      <c r="A91" s="1353" t="s">
        <v>574</v>
      </c>
      <c r="B91" s="343" t="s">
        <v>756</v>
      </c>
      <c r="C91" s="369">
        <v>0</v>
      </c>
      <c r="D91" s="303">
        <v>2</v>
      </c>
      <c r="E91" s="1234">
        <v>0</v>
      </c>
      <c r="F91" s="1232">
        <v>2</v>
      </c>
      <c r="G91" s="1232"/>
      <c r="H91" s="167" t="e">
        <f t="shared" si="63"/>
        <v>#DIV/0!</v>
      </c>
      <c r="I91" s="148">
        <f t="shared" si="64"/>
        <v>1</v>
      </c>
      <c r="J91" s="1235" t="s">
        <v>1490</v>
      </c>
      <c r="K91" s="1235"/>
      <c r="L91" s="1236"/>
      <c r="M91" s="1237"/>
      <c r="N91" s="1238"/>
      <c r="O91" s="1235"/>
      <c r="P91" s="1235"/>
      <c r="Q91" s="1235"/>
      <c r="R91" s="1239"/>
      <c r="S91" s="1235"/>
      <c r="T91" s="1241">
        <v>4</v>
      </c>
      <c r="U91" s="1241">
        <f t="shared" si="70"/>
        <v>2</v>
      </c>
      <c r="V91" s="152">
        <f t="shared" si="71"/>
        <v>0.5</v>
      </c>
      <c r="W91" s="404">
        <v>0.05</v>
      </c>
      <c r="X91" s="395">
        <v>0.16</v>
      </c>
      <c r="Y91" s="1354">
        <v>200000000</v>
      </c>
      <c r="Z91" s="274">
        <v>0</v>
      </c>
      <c r="AA91" s="1242">
        <v>197204527</v>
      </c>
      <c r="AB91" s="208">
        <f t="shared" si="52"/>
        <v>0.98602263499999998</v>
      </c>
      <c r="AC91" s="1347">
        <v>191865736</v>
      </c>
      <c r="AD91" s="1240">
        <f t="shared" si="53"/>
        <v>0.95932868000000004</v>
      </c>
      <c r="AE91" s="1247">
        <f>+AA91-AC91</f>
        <v>5338791</v>
      </c>
      <c r="AF91" s="1242"/>
      <c r="AG91" s="1242"/>
      <c r="AH91" s="506" t="e">
        <f t="shared" si="54"/>
        <v>#DIV/0!</v>
      </c>
      <c r="AI91" s="1255">
        <v>400000000</v>
      </c>
      <c r="AJ91" s="1255">
        <f t="shared" si="67"/>
        <v>197204527</v>
      </c>
      <c r="AK91" s="1272">
        <f t="shared" si="55"/>
        <v>0.49301131749999999</v>
      </c>
      <c r="AL91" s="1248"/>
      <c r="AM91" s="1248"/>
      <c r="AN91" s="1249" t="s">
        <v>302</v>
      </c>
      <c r="AO91" s="1870"/>
      <c r="AP91" s="1250"/>
      <c r="AQ91" s="1251"/>
    </row>
    <row r="92" spans="1:43" x14ac:dyDescent="0.25">
      <c r="A92" s="252" t="s">
        <v>466</v>
      </c>
      <c r="B92" s="344"/>
      <c r="C92" s="141"/>
      <c r="D92" s="187"/>
      <c r="E92" s="181"/>
      <c r="F92" s="141"/>
      <c r="G92" s="141"/>
      <c r="H92" s="142">
        <v>0</v>
      </c>
      <c r="I92" s="142">
        <f>+SUMPRODUCT(I93:I96,X93:X96)</f>
        <v>1</v>
      </c>
      <c r="J92" s="143"/>
      <c r="K92" s="143"/>
      <c r="L92" s="143"/>
      <c r="M92" s="144"/>
      <c r="N92" s="144"/>
      <c r="O92" s="143"/>
      <c r="P92" s="143"/>
      <c r="Q92" s="143"/>
      <c r="R92" s="158"/>
      <c r="S92" s="143"/>
      <c r="T92" s="1226"/>
      <c r="U92" s="201"/>
      <c r="V92" s="165">
        <f>+SUMPRODUCT(V93:V96,W93:W96)</f>
        <v>0.58278688524590161</v>
      </c>
      <c r="W92" s="220">
        <v>0.2</v>
      </c>
      <c r="X92" s="394">
        <v>0.2</v>
      </c>
      <c r="Y92" s="145">
        <f>SUM(Y93:Y96)</f>
        <v>730000000</v>
      </c>
      <c r="Z92" s="145">
        <f>SUM(Z93:Z96)</f>
        <v>0</v>
      </c>
      <c r="AA92" s="145">
        <f>SUM(AA93:AA96)</f>
        <v>719594635</v>
      </c>
      <c r="AB92" s="207">
        <f t="shared" si="52"/>
        <v>0.98574607534246572</v>
      </c>
      <c r="AC92" s="145">
        <f>SUM(AC93:AC96)</f>
        <v>396251203</v>
      </c>
      <c r="AD92" s="1225">
        <f t="shared" si="53"/>
        <v>0.54280986712328771</v>
      </c>
      <c r="AE92" s="145">
        <f>SUM(AE93:AE96)</f>
        <v>323343432</v>
      </c>
      <c r="AF92" s="145">
        <f>SUM(AF93:AF96)</f>
        <v>0</v>
      </c>
      <c r="AG92" s="145">
        <f>SUM(AG93:AG96)</f>
        <v>0</v>
      </c>
      <c r="AH92" s="505" t="e">
        <f t="shared" si="54"/>
        <v>#DIV/0!</v>
      </c>
      <c r="AI92" s="145">
        <f>SUM(AI93:AI96)</f>
        <v>1560000000</v>
      </c>
      <c r="AJ92" s="145">
        <f>SUM(AJ93:AJ96)</f>
        <v>719594635</v>
      </c>
      <c r="AK92" s="1271">
        <f t="shared" si="55"/>
        <v>0.46127861217948718</v>
      </c>
      <c r="AL92" s="159"/>
      <c r="AM92" s="159"/>
      <c r="AN92" s="482"/>
      <c r="AO92" s="145"/>
      <c r="AP92" s="483"/>
      <c r="AQ92" s="101"/>
    </row>
    <row r="93" spans="1:43" ht="114.75" x14ac:dyDescent="0.25">
      <c r="A93" s="250" t="s">
        <v>575</v>
      </c>
      <c r="B93" s="1324" t="s">
        <v>766</v>
      </c>
      <c r="C93" s="372">
        <v>0</v>
      </c>
      <c r="D93" s="306">
        <v>1</v>
      </c>
      <c r="E93" s="219">
        <v>0</v>
      </c>
      <c r="F93" s="1232">
        <v>1</v>
      </c>
      <c r="G93" s="1232"/>
      <c r="H93" s="167" t="e">
        <f t="shared" ref="H93:H96" si="72">IF((E93+G93)/C93&gt;=100%,100%,(E93+G93)/C93)</f>
        <v>#DIV/0!</v>
      </c>
      <c r="I93" s="148">
        <f t="shared" ref="I93:I96" si="73">IF(F93/D93&gt;=100%,100%,F93/D93)</f>
        <v>1</v>
      </c>
      <c r="J93" s="1235" t="s">
        <v>963</v>
      </c>
      <c r="K93" s="1235"/>
      <c r="L93" s="1236"/>
      <c r="M93" s="1237"/>
      <c r="N93" s="1238"/>
      <c r="O93" s="1235"/>
      <c r="P93" s="1235"/>
      <c r="Q93" s="1235"/>
      <c r="R93" s="1239"/>
      <c r="S93" s="1235"/>
      <c r="T93" s="219">
        <v>1</v>
      </c>
      <c r="U93" s="1241">
        <f t="shared" ref="U93:U96" si="74">SUM(E93:F93)</f>
        <v>1</v>
      </c>
      <c r="V93" s="152">
        <f t="shared" ref="V93:V96" si="75">IF(U93/T93&gt;=100%,100%,U93/T93)</f>
        <v>1</v>
      </c>
      <c r="W93" s="404">
        <v>0.2</v>
      </c>
      <c r="X93" s="396">
        <v>0.2</v>
      </c>
      <c r="Y93" s="464">
        <v>150000000</v>
      </c>
      <c r="Z93" s="274">
        <v>0</v>
      </c>
      <c r="AA93" s="1242">
        <v>148136352</v>
      </c>
      <c r="AB93" s="208">
        <f t="shared" si="52"/>
        <v>0.98757567999999996</v>
      </c>
      <c r="AC93" s="1347">
        <v>140580493</v>
      </c>
      <c r="AD93" s="1240">
        <f t="shared" si="53"/>
        <v>0.93720328666666664</v>
      </c>
      <c r="AE93" s="1247">
        <f>+AA93-AC93</f>
        <v>7555859</v>
      </c>
      <c r="AF93" s="1242"/>
      <c r="AG93" s="1242"/>
      <c r="AH93" s="506" t="e">
        <f t="shared" si="54"/>
        <v>#DIV/0!</v>
      </c>
      <c r="AI93" s="1255">
        <v>150000000</v>
      </c>
      <c r="AJ93" s="1255">
        <f t="shared" ref="AJ93:AJ96" si="76">+SUM(Z93:AA93)</f>
        <v>148136352</v>
      </c>
      <c r="AK93" s="1287">
        <f t="shared" si="55"/>
        <v>0.98757567999999996</v>
      </c>
      <c r="AL93" s="1248"/>
      <c r="AM93" s="1248"/>
      <c r="AN93" s="1249" t="s">
        <v>23</v>
      </c>
      <c r="AO93" s="1881" t="s">
        <v>906</v>
      </c>
      <c r="AP93" s="1250"/>
      <c r="AQ93" s="1251"/>
    </row>
    <row r="94" spans="1:43" ht="114.75" x14ac:dyDescent="0.25">
      <c r="A94" s="250" t="s">
        <v>576</v>
      </c>
      <c r="B94" s="339" t="s">
        <v>767</v>
      </c>
      <c r="C94" s="372">
        <v>0</v>
      </c>
      <c r="D94" s="306">
        <v>21</v>
      </c>
      <c r="E94" s="219">
        <v>0</v>
      </c>
      <c r="F94" s="1232">
        <v>27</v>
      </c>
      <c r="G94" s="1232"/>
      <c r="H94" s="167" t="e">
        <f t="shared" si="72"/>
        <v>#DIV/0!</v>
      </c>
      <c r="I94" s="520">
        <f t="shared" si="73"/>
        <v>1</v>
      </c>
      <c r="J94" s="1235" t="s">
        <v>964</v>
      </c>
      <c r="K94" s="1235"/>
      <c r="L94" s="1236"/>
      <c r="M94" s="1237"/>
      <c r="N94" s="1238"/>
      <c r="O94" s="1235"/>
      <c r="P94" s="1235"/>
      <c r="Q94" s="1235"/>
      <c r="R94" s="1239"/>
      <c r="S94" s="1235"/>
      <c r="T94" s="1274">
        <v>61</v>
      </c>
      <c r="U94" s="1241">
        <f t="shared" si="74"/>
        <v>27</v>
      </c>
      <c r="V94" s="152">
        <f t="shared" si="75"/>
        <v>0.44262295081967212</v>
      </c>
      <c r="W94" s="404">
        <v>0.3</v>
      </c>
      <c r="X94" s="396">
        <v>0.3</v>
      </c>
      <c r="Y94" s="464">
        <v>210000000</v>
      </c>
      <c r="Z94" s="274">
        <v>0</v>
      </c>
      <c r="AA94" s="1242">
        <v>206893921</v>
      </c>
      <c r="AB94" s="208">
        <f t="shared" si="52"/>
        <v>0.98520914761904765</v>
      </c>
      <c r="AC94" s="1347">
        <v>36560820</v>
      </c>
      <c r="AD94" s="1249">
        <f t="shared" si="53"/>
        <v>0.17409914285714287</v>
      </c>
      <c r="AE94" s="1247">
        <f>+AA94-AC94</f>
        <v>170333101</v>
      </c>
      <c r="AF94" s="1242"/>
      <c r="AG94" s="1242"/>
      <c r="AH94" s="506" t="e">
        <f t="shared" si="54"/>
        <v>#DIV/0!</v>
      </c>
      <c r="AI94" s="1255">
        <v>610000000</v>
      </c>
      <c r="AJ94" s="1255">
        <f t="shared" si="76"/>
        <v>206893921</v>
      </c>
      <c r="AK94" s="1272">
        <f t="shared" si="55"/>
        <v>0.33917036229508196</v>
      </c>
      <c r="AL94" s="1248"/>
      <c r="AM94" s="1248"/>
      <c r="AN94" s="1249" t="s">
        <v>23</v>
      </c>
      <c r="AO94" s="1874"/>
      <c r="AP94" s="1250"/>
      <c r="AQ94" s="1251"/>
    </row>
    <row r="95" spans="1:43" ht="127.5" x14ac:dyDescent="0.25">
      <c r="A95" s="250" t="s">
        <v>577</v>
      </c>
      <c r="B95" s="339" t="s">
        <v>768</v>
      </c>
      <c r="C95" s="372">
        <v>0</v>
      </c>
      <c r="D95" s="306">
        <v>1</v>
      </c>
      <c r="E95" s="219">
        <v>0</v>
      </c>
      <c r="F95" s="1232">
        <v>1</v>
      </c>
      <c r="G95" s="1232"/>
      <c r="H95" s="167" t="e">
        <f t="shared" si="72"/>
        <v>#DIV/0!</v>
      </c>
      <c r="I95" s="520">
        <f t="shared" si="73"/>
        <v>1</v>
      </c>
      <c r="J95" s="1235" t="s">
        <v>1491</v>
      </c>
      <c r="K95" s="1235"/>
      <c r="L95" s="1236"/>
      <c r="M95" s="1237"/>
      <c r="N95" s="1238"/>
      <c r="O95" s="1235"/>
      <c r="P95" s="1235"/>
      <c r="Q95" s="1235"/>
      <c r="R95" s="1239"/>
      <c r="S95" s="1235"/>
      <c r="T95" s="1274">
        <v>2</v>
      </c>
      <c r="U95" s="1241">
        <f t="shared" si="74"/>
        <v>1</v>
      </c>
      <c r="V95" s="152">
        <f t="shared" si="75"/>
        <v>0.5</v>
      </c>
      <c r="W95" s="404">
        <v>0.3</v>
      </c>
      <c r="X95" s="396">
        <v>0.3</v>
      </c>
      <c r="Y95" s="464">
        <v>220000000</v>
      </c>
      <c r="Z95" s="274">
        <v>0</v>
      </c>
      <c r="AA95" s="1242">
        <v>216893921</v>
      </c>
      <c r="AB95" s="208">
        <f t="shared" si="52"/>
        <v>0.98588145909090907</v>
      </c>
      <c r="AC95" s="1347">
        <v>210960820</v>
      </c>
      <c r="AD95" s="1240">
        <f t="shared" si="53"/>
        <v>0.95891281818181817</v>
      </c>
      <c r="AE95" s="1247">
        <f>+AA95-AC95</f>
        <v>5933101</v>
      </c>
      <c r="AF95" s="1242"/>
      <c r="AG95" s="1242"/>
      <c r="AH95" s="506" t="e">
        <f t="shared" si="54"/>
        <v>#DIV/0!</v>
      </c>
      <c r="AI95" s="1355">
        <v>500000000</v>
      </c>
      <c r="AJ95" s="1255">
        <f t="shared" si="76"/>
        <v>216893921</v>
      </c>
      <c r="AK95" s="1272">
        <f t="shared" si="55"/>
        <v>0.43378784199999998</v>
      </c>
      <c r="AL95" s="1248"/>
      <c r="AM95" s="1248"/>
      <c r="AN95" s="1249" t="s">
        <v>23</v>
      </c>
      <c r="AO95" s="1874"/>
      <c r="AP95" s="1250"/>
      <c r="AQ95" s="1251"/>
    </row>
    <row r="96" spans="1:43" ht="140.25" x14ac:dyDescent="0.25">
      <c r="A96" s="250" t="s">
        <v>578</v>
      </c>
      <c r="B96" s="339" t="s">
        <v>769</v>
      </c>
      <c r="C96" s="372">
        <v>0</v>
      </c>
      <c r="D96" s="306">
        <v>1</v>
      </c>
      <c r="E96" s="219">
        <v>0</v>
      </c>
      <c r="F96" s="1232">
        <v>1</v>
      </c>
      <c r="G96" s="1232"/>
      <c r="H96" s="167" t="e">
        <f t="shared" si="72"/>
        <v>#DIV/0!</v>
      </c>
      <c r="I96" s="520">
        <f t="shared" si="73"/>
        <v>1</v>
      </c>
      <c r="J96" s="1345" t="s">
        <v>965</v>
      </c>
      <c r="K96" s="1345"/>
      <c r="L96" s="1236"/>
      <c r="M96" s="1237"/>
      <c r="N96" s="1238"/>
      <c r="O96" s="1345"/>
      <c r="P96" s="1345"/>
      <c r="Q96" s="1345"/>
      <c r="R96" s="1239"/>
      <c r="S96" s="1345"/>
      <c r="T96" s="1356">
        <v>2</v>
      </c>
      <c r="U96" s="1241">
        <f t="shared" si="74"/>
        <v>1</v>
      </c>
      <c r="V96" s="152">
        <f t="shared" si="75"/>
        <v>0.5</v>
      </c>
      <c r="W96" s="404">
        <v>0.2</v>
      </c>
      <c r="X96" s="396">
        <v>0.2</v>
      </c>
      <c r="Y96" s="464">
        <v>150000000</v>
      </c>
      <c r="Z96" s="274">
        <v>0</v>
      </c>
      <c r="AA96" s="1357">
        <v>147670441</v>
      </c>
      <c r="AB96" s="208">
        <f t="shared" si="52"/>
        <v>0.98446960666666672</v>
      </c>
      <c r="AC96" s="1358">
        <v>8149070</v>
      </c>
      <c r="AD96" s="1359">
        <f t="shared" si="53"/>
        <v>5.4327133333333333E-2</v>
      </c>
      <c r="AE96" s="1247">
        <f>+AA96-AC96</f>
        <v>139521371</v>
      </c>
      <c r="AF96" s="1357"/>
      <c r="AG96" s="1357"/>
      <c r="AH96" s="506" t="e">
        <f t="shared" si="54"/>
        <v>#DIV/0!</v>
      </c>
      <c r="AI96" s="1255">
        <v>300000000</v>
      </c>
      <c r="AJ96" s="1255">
        <f t="shared" si="76"/>
        <v>147670441</v>
      </c>
      <c r="AK96" s="1360">
        <f t="shared" si="55"/>
        <v>0.49223480333333336</v>
      </c>
      <c r="AL96" s="1361"/>
      <c r="AM96" s="1248"/>
      <c r="AN96" s="1249" t="s">
        <v>23</v>
      </c>
      <c r="AO96" s="1870"/>
      <c r="AP96" s="1250"/>
      <c r="AQ96" s="1251"/>
    </row>
    <row r="97" spans="1:43" x14ac:dyDescent="0.25">
      <c r="A97" s="241" t="s">
        <v>467</v>
      </c>
      <c r="B97" s="140"/>
      <c r="C97" s="141"/>
      <c r="D97" s="187"/>
      <c r="E97" s="181"/>
      <c r="F97" s="141"/>
      <c r="G97" s="141"/>
      <c r="H97" s="142">
        <f>+(H98*W98)</f>
        <v>1</v>
      </c>
      <c r="I97" s="157">
        <f>+SUMPRODUCT(I98:I98,X98:X98)</f>
        <v>1</v>
      </c>
      <c r="J97" s="143"/>
      <c r="K97" s="143"/>
      <c r="L97" s="143"/>
      <c r="M97" s="144"/>
      <c r="N97" s="144"/>
      <c r="O97" s="143"/>
      <c r="P97" s="143"/>
      <c r="Q97" s="143"/>
      <c r="R97" s="158"/>
      <c r="S97" s="143"/>
      <c r="T97" s="1226"/>
      <c r="U97" s="201">
        <f>SUM(E97:F97)</f>
        <v>0</v>
      </c>
      <c r="V97" s="165">
        <f>+SUMPRODUCT(V98:V98,W98:W98)</f>
        <v>0.5</v>
      </c>
      <c r="W97" s="142">
        <v>0.1</v>
      </c>
      <c r="X97" s="394">
        <v>0.1</v>
      </c>
      <c r="Y97" s="145">
        <f>SUM(Y98)</f>
        <v>100000000</v>
      </c>
      <c r="Z97" s="145">
        <f>SUM(Z98:Z98)</f>
        <v>88650000</v>
      </c>
      <c r="AA97" s="145">
        <f>SUM(AA98:AA98)</f>
        <v>91165496</v>
      </c>
      <c r="AB97" s="207">
        <f t="shared" si="52"/>
        <v>0.91165496000000001</v>
      </c>
      <c r="AC97" s="145">
        <f>SUM(AC98:AC98)</f>
        <v>74151059</v>
      </c>
      <c r="AD97" s="1225">
        <f t="shared" si="53"/>
        <v>0.74151058999999997</v>
      </c>
      <c r="AE97" s="145">
        <f>SUM(AE98:AE98)</f>
        <v>17014437</v>
      </c>
      <c r="AF97" s="145">
        <f>SUM(AF98:AF98)</f>
        <v>17950000</v>
      </c>
      <c r="AG97" s="145">
        <f>SUM(AG98:AG98)</f>
        <v>17950000</v>
      </c>
      <c r="AH97" s="505">
        <f t="shared" si="54"/>
        <v>1</v>
      </c>
      <c r="AI97" s="145">
        <f>SUM(AI98:AI98)</f>
        <v>400000000</v>
      </c>
      <c r="AJ97" s="145">
        <f>SUM(AJ98:AJ98)</f>
        <v>179815496</v>
      </c>
      <c r="AK97" s="1271">
        <f t="shared" si="55"/>
        <v>0.44953873999999999</v>
      </c>
      <c r="AL97" s="159"/>
      <c r="AM97" s="159"/>
      <c r="AN97" s="482"/>
      <c r="AO97" s="145"/>
      <c r="AP97" s="483"/>
      <c r="AQ97" s="101"/>
    </row>
    <row r="98" spans="1:43" ht="153.75" thickBot="1" x14ac:dyDescent="0.3">
      <c r="A98" s="1362" t="s">
        <v>579</v>
      </c>
      <c r="B98" s="334" t="s">
        <v>770</v>
      </c>
      <c r="C98" s="1363">
        <v>1</v>
      </c>
      <c r="D98" s="1364">
        <v>1</v>
      </c>
      <c r="E98" s="1234">
        <v>1</v>
      </c>
      <c r="F98" s="1232">
        <v>1</v>
      </c>
      <c r="G98" s="1232"/>
      <c r="H98" s="167">
        <f t="shared" ref="H98" si="77">IF((E98+G98)/C98&gt;=100%,100%,(E98+G98)/C98)</f>
        <v>1</v>
      </c>
      <c r="I98" s="520">
        <f t="shared" ref="I98" si="78">IF(F98/D98&gt;=100%,100%,F98/D98)</f>
        <v>1</v>
      </c>
      <c r="J98" s="1235" t="s">
        <v>966</v>
      </c>
      <c r="K98" s="1235"/>
      <c r="L98" s="1236"/>
      <c r="M98" s="1237"/>
      <c r="N98" s="1238"/>
      <c r="O98" s="1235"/>
      <c r="P98" s="1235"/>
      <c r="Q98" s="1235"/>
      <c r="R98" s="1239"/>
      <c r="S98" s="1235"/>
      <c r="T98" s="1274">
        <v>4</v>
      </c>
      <c r="U98" s="1241">
        <f t="shared" ref="U98" si="79">SUM(E98:F98)</f>
        <v>2</v>
      </c>
      <c r="V98" s="152">
        <f t="shared" ref="V98" si="80">IF(U98/T98&gt;=100%,100%,U98/T98)</f>
        <v>0.5</v>
      </c>
      <c r="W98" s="1327">
        <v>1</v>
      </c>
      <c r="X98" s="395">
        <v>1</v>
      </c>
      <c r="Y98" s="462">
        <v>100000000</v>
      </c>
      <c r="Z98" s="1244">
        <v>88650000</v>
      </c>
      <c r="AA98" s="1242">
        <v>91165496</v>
      </c>
      <c r="AB98" s="208">
        <f t="shared" si="52"/>
        <v>0.91165496000000001</v>
      </c>
      <c r="AC98" s="1347">
        <v>74151059</v>
      </c>
      <c r="AD98" s="1240">
        <f t="shared" si="53"/>
        <v>0.74151058999999997</v>
      </c>
      <c r="AE98" s="1247">
        <f>+AA98-AC98</f>
        <v>17014437</v>
      </c>
      <c r="AF98" s="1242">
        <v>17950000</v>
      </c>
      <c r="AG98" s="1242">
        <v>17950000</v>
      </c>
      <c r="AH98" s="506">
        <f t="shared" si="54"/>
        <v>1</v>
      </c>
      <c r="AI98" s="1255">
        <v>400000000</v>
      </c>
      <c r="AJ98" s="1255">
        <f>+SUM(Z98:AA98)</f>
        <v>179815496</v>
      </c>
      <c r="AK98" s="1272">
        <f t="shared" si="55"/>
        <v>0.44953873999999999</v>
      </c>
      <c r="AL98" s="1248"/>
      <c r="AM98" s="1248"/>
      <c r="AN98" s="1249" t="s">
        <v>302</v>
      </c>
      <c r="AO98" s="486" t="s">
        <v>906</v>
      </c>
      <c r="AP98" s="1250"/>
      <c r="AQ98" s="1251"/>
    </row>
    <row r="99" spans="1:43" ht="25.5" x14ac:dyDescent="0.25">
      <c r="A99" s="1174" t="s">
        <v>890</v>
      </c>
      <c r="B99" s="1289"/>
      <c r="C99" s="1290"/>
      <c r="D99" s="1291"/>
      <c r="E99" s="1292"/>
      <c r="F99" s="1290"/>
      <c r="G99" s="1290"/>
      <c r="H99" s="1180">
        <f>+(H100*W100)+(H117*W117)+(H134*W134)+(H140*W140)</f>
        <v>0.71875</v>
      </c>
      <c r="I99" s="1180">
        <f>+(I100*X100)+(I117*X117)+(I134*X134)+(I140*X140)</f>
        <v>0.91249999999999998</v>
      </c>
      <c r="J99" s="1180"/>
      <c r="K99" s="1180">
        <f t="shared" ref="K99:R99" si="81">+(K100*AA100)</f>
        <v>0</v>
      </c>
      <c r="L99" s="1180">
        <f t="shared" si="81"/>
        <v>0</v>
      </c>
      <c r="M99" s="1180">
        <f t="shared" si="81"/>
        <v>0</v>
      </c>
      <c r="N99" s="1180">
        <f t="shared" si="81"/>
        <v>0</v>
      </c>
      <c r="O99" s="1180">
        <f t="shared" si="81"/>
        <v>0</v>
      </c>
      <c r="P99" s="1180">
        <f t="shared" si="81"/>
        <v>0</v>
      </c>
      <c r="Q99" s="1180">
        <f t="shared" si="81"/>
        <v>0</v>
      </c>
      <c r="R99" s="1180">
        <f t="shared" si="81"/>
        <v>0</v>
      </c>
      <c r="S99" s="1180"/>
      <c r="T99" s="1180"/>
      <c r="U99" s="1180"/>
      <c r="V99" s="1188">
        <f>+(V100*W100)+(V117*W117)+(V134*W134)+(V140*W140)</f>
        <v>0.42292558811802233</v>
      </c>
      <c r="W99" s="1365">
        <v>0.15</v>
      </c>
      <c r="X99" s="1297">
        <v>0.15</v>
      </c>
      <c r="Y99" s="1191">
        <f>+Y100+Y117+Y134+Y140</f>
        <v>5430000000</v>
      </c>
      <c r="Z99" s="1191">
        <f>+Z100+Z117+Z134+Z140</f>
        <v>1833038631</v>
      </c>
      <c r="AA99" s="1192">
        <f>+AA100+AA117+AA134+AA140</f>
        <v>5358674824.6800003</v>
      </c>
      <c r="AB99" s="1298">
        <f t="shared" si="52"/>
        <v>0.98686460859668512</v>
      </c>
      <c r="AC99" s="1191">
        <f>+AC100+AC117+AC134+AC140</f>
        <v>4196895217</v>
      </c>
      <c r="AD99" s="1299">
        <f t="shared" si="53"/>
        <v>0.77290887974217315</v>
      </c>
      <c r="AE99" s="1191">
        <f>+AE100+AE117+AE134+AE140</f>
        <v>1161779607.6800001</v>
      </c>
      <c r="AF99" s="1191">
        <f>+AF100+AF117+AF134+AF140</f>
        <v>900914523</v>
      </c>
      <c r="AG99" s="1191">
        <f>+AG100+AG117+AG134+AG140</f>
        <v>751671583</v>
      </c>
      <c r="AH99" s="1300">
        <f t="shared" si="54"/>
        <v>0.83434284142403592</v>
      </c>
      <c r="AI99" s="1191">
        <f t="shared" ref="AI99:AJ99" si="82">+AI100+AI117+AI134+AI140</f>
        <v>30000000000</v>
      </c>
      <c r="AJ99" s="1191">
        <f t="shared" si="82"/>
        <v>7191713455.6800003</v>
      </c>
      <c r="AK99" s="1301">
        <f t="shared" si="55"/>
        <v>0.23972378185600002</v>
      </c>
      <c r="AL99" s="1303"/>
      <c r="AM99" s="1303"/>
      <c r="AN99" s="1304"/>
      <c r="AO99" s="1305"/>
      <c r="AP99" s="1306"/>
      <c r="AQ99" s="1307"/>
    </row>
    <row r="100" spans="1:43" ht="38.25" x14ac:dyDescent="0.25">
      <c r="A100" s="1201" t="s">
        <v>432</v>
      </c>
      <c r="B100" s="1202"/>
      <c r="C100" s="1203"/>
      <c r="D100" s="1204"/>
      <c r="E100" s="1205"/>
      <c r="F100" s="1203"/>
      <c r="G100" s="1203"/>
      <c r="H100" s="1308">
        <f>+(H101*W101)+(H105*W105)+(H111*W111)+(H114*W114)</f>
        <v>0.625</v>
      </c>
      <c r="I100" s="1260">
        <f>+(I101*X101)+(I105*X105)+(I111*X111)+(I114*X114)</f>
        <v>0.75</v>
      </c>
      <c r="J100" s="1207"/>
      <c r="K100" s="1207"/>
      <c r="L100" s="1207"/>
      <c r="M100" s="1208"/>
      <c r="N100" s="1208"/>
      <c r="O100" s="1207"/>
      <c r="P100" s="1207"/>
      <c r="Q100" s="1207"/>
      <c r="R100" s="1310"/>
      <c r="S100" s="1207"/>
      <c r="T100" s="1210"/>
      <c r="U100" s="1211"/>
      <c r="V100" s="1312">
        <f>+(V101*W101)+(V105*W105)+(V111*W111)+(V114*W114)</f>
        <v>0.30261206994759626</v>
      </c>
      <c r="W100" s="1213">
        <v>0.35</v>
      </c>
      <c r="X100" s="1214">
        <v>0.35</v>
      </c>
      <c r="Y100" s="1215">
        <f>+Y101+Y105+Y111+Y114</f>
        <v>2320000000</v>
      </c>
      <c r="Z100" s="1215">
        <f>+Z101+Z105+Z111+Z114</f>
        <v>833538631</v>
      </c>
      <c r="AA100" s="1215">
        <f>+AA101+AA105+AA111+AA114</f>
        <v>2288896506</v>
      </c>
      <c r="AB100" s="1216">
        <f t="shared" si="52"/>
        <v>0.98659332155172419</v>
      </c>
      <c r="AC100" s="1215">
        <f>+AC101+AC105+AC111+AC114</f>
        <v>1918434383</v>
      </c>
      <c r="AD100" s="1218">
        <f t="shared" si="53"/>
        <v>0.82691137198275866</v>
      </c>
      <c r="AE100" s="1215">
        <f>+AE101+AE105+AE111+AE114</f>
        <v>370462123</v>
      </c>
      <c r="AF100" s="1215">
        <f>+AF101+AF105+AF111+AF114</f>
        <v>58664523</v>
      </c>
      <c r="AG100" s="1215">
        <f>+AG101+AG105+AG111+AG114</f>
        <v>55671583</v>
      </c>
      <c r="AH100" s="1219">
        <f t="shared" si="54"/>
        <v>0.94898211309073455</v>
      </c>
      <c r="AI100" s="1215">
        <f t="shared" ref="AI100:AJ100" si="83">+AI101+AI105+AI111+AI114</f>
        <v>14030000000</v>
      </c>
      <c r="AJ100" s="1215">
        <f t="shared" si="83"/>
        <v>3122435137</v>
      </c>
      <c r="AK100" s="1265">
        <f t="shared" si="55"/>
        <v>0.22255417940128297</v>
      </c>
      <c r="AL100" s="1221"/>
      <c r="AM100" s="1221" t="s">
        <v>300</v>
      </c>
      <c r="AN100" s="1222"/>
      <c r="AO100" s="1215"/>
      <c r="AP100" s="1223"/>
      <c r="AQ100" s="1224"/>
    </row>
    <row r="101" spans="1:43" ht="38.25" x14ac:dyDescent="0.25">
      <c r="A101" s="241" t="s">
        <v>468</v>
      </c>
      <c r="B101" s="140"/>
      <c r="C101" s="141"/>
      <c r="D101" s="187"/>
      <c r="E101" s="181"/>
      <c r="F101" s="141"/>
      <c r="G101" s="141"/>
      <c r="H101" s="142">
        <f>+(H102*50%)+(H104*50%)</f>
        <v>0.5</v>
      </c>
      <c r="I101" s="157">
        <f>+SUMPRODUCT(I102:I104,X102:X104)</f>
        <v>0.25</v>
      </c>
      <c r="J101" s="143"/>
      <c r="K101" s="143"/>
      <c r="L101" s="143"/>
      <c r="M101" s="144"/>
      <c r="N101" s="144"/>
      <c r="O101" s="143"/>
      <c r="P101" s="143"/>
      <c r="Q101" s="143"/>
      <c r="R101" s="158"/>
      <c r="S101" s="143"/>
      <c r="T101" s="1226"/>
      <c r="U101" s="201"/>
      <c r="V101" s="165">
        <f>+SUMPRODUCT(V102:V104,W102:W104)</f>
        <v>6.25E-2</v>
      </c>
      <c r="W101" s="142">
        <v>0.25</v>
      </c>
      <c r="X101" s="394">
        <v>0.25</v>
      </c>
      <c r="Y101" s="145">
        <f>SUM(Y102:Y104)</f>
        <v>300000000</v>
      </c>
      <c r="Z101" s="145">
        <f>SUM(Z102:Z104)</f>
        <v>47000000</v>
      </c>
      <c r="AA101" s="145">
        <f>SUM(AA102:AA104)</f>
        <v>294634047</v>
      </c>
      <c r="AB101" s="207">
        <f t="shared" si="52"/>
        <v>0.98211349000000003</v>
      </c>
      <c r="AC101" s="145">
        <f>SUM(AC102:AC104)</f>
        <v>227384801</v>
      </c>
      <c r="AD101" s="1225">
        <f t="shared" si="53"/>
        <v>0.75794933666666664</v>
      </c>
      <c r="AE101" s="145">
        <f>SUM(AE102:AE104)</f>
        <v>67249246</v>
      </c>
      <c r="AF101" s="145">
        <f>SUM(AF102:AF104)</f>
        <v>20000000</v>
      </c>
      <c r="AG101" s="145">
        <f>SUM(AG102:AG104)</f>
        <v>20000000</v>
      </c>
      <c r="AH101" s="505">
        <f t="shared" si="54"/>
        <v>1</v>
      </c>
      <c r="AI101" s="145">
        <f t="shared" ref="AI101:AJ101" si="84">SUM(AI102:AI104)</f>
        <v>2740000000</v>
      </c>
      <c r="AJ101" s="145">
        <f t="shared" si="84"/>
        <v>341634047</v>
      </c>
      <c r="AK101" s="1271">
        <f t="shared" si="55"/>
        <v>0.12468395875912409</v>
      </c>
      <c r="AL101" s="159"/>
      <c r="AM101" s="159"/>
      <c r="AN101" s="482"/>
      <c r="AO101" s="145"/>
      <c r="AP101" s="483"/>
      <c r="AQ101" s="101"/>
    </row>
    <row r="102" spans="1:43" ht="127.5" x14ac:dyDescent="0.25">
      <c r="A102" s="253" t="s">
        <v>580</v>
      </c>
      <c r="B102" s="1324" t="s">
        <v>771</v>
      </c>
      <c r="C102" s="373">
        <v>5</v>
      </c>
      <c r="D102" s="307">
        <v>17</v>
      </c>
      <c r="E102" s="1234">
        <v>0</v>
      </c>
      <c r="F102" s="1232"/>
      <c r="G102" s="1232">
        <v>0</v>
      </c>
      <c r="H102" s="167">
        <f t="shared" ref="H102:H104" si="85">IF((E102+G102)/C102&gt;=100%,100%,(E102+G102)/C102)</f>
        <v>0</v>
      </c>
      <c r="I102" s="520">
        <f t="shared" ref="I102:I104" si="86">IF(F102/D102&gt;=100%,100%,F102/D102)</f>
        <v>0</v>
      </c>
      <c r="J102" s="1235" t="s">
        <v>967</v>
      </c>
      <c r="K102" s="1235"/>
      <c r="L102" s="1236"/>
      <c r="M102" s="1237"/>
      <c r="N102" s="1238"/>
      <c r="O102" s="1235"/>
      <c r="P102" s="1235"/>
      <c r="Q102" s="1235"/>
      <c r="R102" s="1239"/>
      <c r="S102" s="1235"/>
      <c r="T102" s="1274">
        <v>22</v>
      </c>
      <c r="U102" s="1241">
        <f>SUM(E102:F102)</f>
        <v>0</v>
      </c>
      <c r="V102" s="152">
        <f>IF(U102/T102&gt;=100%,100%,U102/T102)</f>
        <v>0</v>
      </c>
      <c r="W102" s="409">
        <v>0.25</v>
      </c>
      <c r="X102" s="432">
        <v>0.25</v>
      </c>
      <c r="Y102" s="465">
        <v>150000000</v>
      </c>
      <c r="Z102" s="279">
        <v>47000000</v>
      </c>
      <c r="AA102" s="1242">
        <v>147263496</v>
      </c>
      <c r="AB102" s="208">
        <f t="shared" si="52"/>
        <v>0.98175663999999996</v>
      </c>
      <c r="AC102" s="1347">
        <v>128772454</v>
      </c>
      <c r="AD102" s="1240">
        <f t="shared" si="53"/>
        <v>0.85848302666666665</v>
      </c>
      <c r="AE102" s="1247">
        <f>+AA102-AC102</f>
        <v>18491042</v>
      </c>
      <c r="AF102" s="1242">
        <v>20000000</v>
      </c>
      <c r="AG102" s="1242">
        <v>20000000</v>
      </c>
      <c r="AH102" s="506">
        <f t="shared" si="54"/>
        <v>1</v>
      </c>
      <c r="AI102" s="1255">
        <v>660000000</v>
      </c>
      <c r="AJ102" s="1255">
        <f t="shared" ref="AJ102:AJ104" si="87">+SUM(Z102:AA102)</f>
        <v>194263496</v>
      </c>
      <c r="AK102" s="1272">
        <f t="shared" si="55"/>
        <v>0.29433863030303031</v>
      </c>
      <c r="AL102" s="1248"/>
      <c r="AM102" s="1248"/>
      <c r="AN102" s="1249" t="s">
        <v>30</v>
      </c>
      <c r="AO102" s="1878" t="s">
        <v>912</v>
      </c>
      <c r="AP102" s="1250"/>
      <c r="AQ102" s="1251"/>
    </row>
    <row r="103" spans="1:43" ht="127.5" x14ac:dyDescent="0.25">
      <c r="A103" s="253" t="s">
        <v>581</v>
      </c>
      <c r="B103" s="339" t="s">
        <v>772</v>
      </c>
      <c r="C103" s="373">
        <v>0</v>
      </c>
      <c r="D103" s="307">
        <v>10</v>
      </c>
      <c r="E103" s="1234">
        <v>0</v>
      </c>
      <c r="F103" s="1232"/>
      <c r="G103" s="1232"/>
      <c r="H103" s="167" t="e">
        <f t="shared" si="85"/>
        <v>#DIV/0!</v>
      </c>
      <c r="I103" s="520">
        <f t="shared" si="86"/>
        <v>0</v>
      </c>
      <c r="J103" s="1235" t="s">
        <v>968</v>
      </c>
      <c r="K103" s="1235"/>
      <c r="L103" s="1236"/>
      <c r="M103" s="1237"/>
      <c r="N103" s="1238"/>
      <c r="O103" s="1235"/>
      <c r="P103" s="1235"/>
      <c r="Q103" s="1235"/>
      <c r="R103" s="1239"/>
      <c r="S103" s="1235"/>
      <c r="T103" s="1274">
        <v>44</v>
      </c>
      <c r="U103" s="1241">
        <f t="shared" ref="U103:U104" si="88">SUM(E103:F103)</f>
        <v>0</v>
      </c>
      <c r="V103" s="152">
        <f t="shared" ref="V103:V104" si="89">IF(U103/T103&gt;=100%,100%,U103/T103)</f>
        <v>0</v>
      </c>
      <c r="W103" s="409">
        <v>0.5</v>
      </c>
      <c r="X103" s="432">
        <v>0.5</v>
      </c>
      <c r="Y103" s="466">
        <v>100000000</v>
      </c>
      <c r="Z103" s="279">
        <v>0</v>
      </c>
      <c r="AA103" s="1242">
        <v>98241360</v>
      </c>
      <c r="AB103" s="208">
        <f t="shared" si="52"/>
        <v>0.9824136</v>
      </c>
      <c r="AC103" s="1347">
        <v>77916973</v>
      </c>
      <c r="AD103" s="1240">
        <f t="shared" si="53"/>
        <v>0.77916973</v>
      </c>
      <c r="AE103" s="1247">
        <f>+AA103-AC103</f>
        <v>20324387</v>
      </c>
      <c r="AF103" s="1242"/>
      <c r="AG103" s="1242"/>
      <c r="AH103" s="506" t="e">
        <f t="shared" si="54"/>
        <v>#DIV/0!</v>
      </c>
      <c r="AI103" s="1255">
        <v>1580000000</v>
      </c>
      <c r="AJ103" s="1255">
        <f t="shared" si="87"/>
        <v>98241360</v>
      </c>
      <c r="AK103" s="1272">
        <f t="shared" si="55"/>
        <v>6.2178075949367091E-2</v>
      </c>
      <c r="AL103" s="1248"/>
      <c r="AM103" s="1248"/>
      <c r="AN103" s="1249" t="s">
        <v>30</v>
      </c>
      <c r="AO103" s="1874"/>
      <c r="AP103" s="1250"/>
      <c r="AQ103" s="1251"/>
    </row>
    <row r="104" spans="1:43" ht="89.25" x14ac:dyDescent="0.25">
      <c r="A104" s="253" t="s">
        <v>582</v>
      </c>
      <c r="B104" s="339" t="s">
        <v>773</v>
      </c>
      <c r="C104" s="373">
        <v>1</v>
      </c>
      <c r="D104" s="307">
        <v>1</v>
      </c>
      <c r="E104" s="1234">
        <v>0</v>
      </c>
      <c r="F104" s="1232">
        <v>1</v>
      </c>
      <c r="G104" s="1232">
        <v>1</v>
      </c>
      <c r="H104" s="167">
        <f t="shared" si="85"/>
        <v>1</v>
      </c>
      <c r="I104" s="520">
        <f t="shared" si="86"/>
        <v>1</v>
      </c>
      <c r="J104" s="1235" t="s">
        <v>969</v>
      </c>
      <c r="K104" s="1235"/>
      <c r="L104" s="1236"/>
      <c r="M104" s="1237"/>
      <c r="N104" s="1238"/>
      <c r="O104" s="1235"/>
      <c r="P104" s="1235"/>
      <c r="Q104" s="1235"/>
      <c r="R104" s="1239"/>
      <c r="S104" s="1235"/>
      <c r="T104" s="1274">
        <v>4</v>
      </c>
      <c r="U104" s="1241">
        <f t="shared" si="88"/>
        <v>1</v>
      </c>
      <c r="V104" s="152">
        <f t="shared" si="89"/>
        <v>0.25</v>
      </c>
      <c r="W104" s="409">
        <v>0.25</v>
      </c>
      <c r="X104" s="432">
        <v>0.25</v>
      </c>
      <c r="Y104" s="465">
        <v>50000000</v>
      </c>
      <c r="Z104" s="279">
        <v>0</v>
      </c>
      <c r="AA104" s="1242">
        <v>49129191</v>
      </c>
      <c r="AB104" s="208">
        <f t="shared" si="52"/>
        <v>0.98258382</v>
      </c>
      <c r="AC104" s="1347">
        <v>20695374</v>
      </c>
      <c r="AD104" s="1249">
        <f t="shared" si="53"/>
        <v>0.41390747999999999</v>
      </c>
      <c r="AE104" s="1247">
        <f>+AA104-AC104</f>
        <v>28433817</v>
      </c>
      <c r="AF104" s="1242"/>
      <c r="AG104" s="1242"/>
      <c r="AH104" s="506" t="e">
        <f t="shared" si="54"/>
        <v>#DIV/0!</v>
      </c>
      <c r="AI104" s="1255">
        <v>500000000</v>
      </c>
      <c r="AJ104" s="1255">
        <f t="shared" si="87"/>
        <v>49129191</v>
      </c>
      <c r="AK104" s="1272">
        <f t="shared" si="55"/>
        <v>9.8258382000000005E-2</v>
      </c>
      <c r="AL104" s="1248"/>
      <c r="AM104" s="1248"/>
      <c r="AN104" s="1249" t="s">
        <v>30</v>
      </c>
      <c r="AO104" s="1870"/>
      <c r="AP104" s="1250"/>
      <c r="AQ104" s="1251"/>
    </row>
    <row r="105" spans="1:43" ht="25.5" x14ac:dyDescent="0.25">
      <c r="A105" s="241" t="s">
        <v>469</v>
      </c>
      <c r="B105" s="140"/>
      <c r="C105" s="141"/>
      <c r="D105" s="187"/>
      <c r="E105" s="181"/>
      <c r="F105" s="141"/>
      <c r="G105" s="141"/>
      <c r="H105" s="142">
        <f>+(H106*50%)+(H107*30%)+(H108*20%)</f>
        <v>1</v>
      </c>
      <c r="I105" s="157">
        <f>+SUMPRODUCT(I106:I110,X106:X110)</f>
        <v>1</v>
      </c>
      <c r="J105" s="143"/>
      <c r="K105" s="143"/>
      <c r="L105" s="143"/>
      <c r="M105" s="144"/>
      <c r="N105" s="144"/>
      <c r="O105" s="143"/>
      <c r="P105" s="143"/>
      <c r="Q105" s="143"/>
      <c r="R105" s="158"/>
      <c r="S105" s="143"/>
      <c r="T105" s="1226"/>
      <c r="U105" s="201"/>
      <c r="V105" s="165">
        <f>+SUMPRODUCT(V106:V110,W106:W110)</f>
        <v>0.42417293233082709</v>
      </c>
      <c r="W105" s="142">
        <v>0.25</v>
      </c>
      <c r="X105" s="394">
        <v>0.25</v>
      </c>
      <c r="Y105" s="145">
        <f>SUM(Y106:Y110)</f>
        <v>550000000</v>
      </c>
      <c r="Z105" s="145">
        <f>SUM(Z106:Z110)</f>
        <v>12000000</v>
      </c>
      <c r="AA105" s="145">
        <f>SUM(AA106:AA110)</f>
        <v>543221928</v>
      </c>
      <c r="AB105" s="1279">
        <f>+AA105/Y105</f>
        <v>0.98767623272727267</v>
      </c>
      <c r="AC105" s="145">
        <f t="shared" ref="AC105:AJ105" si="90">SUM(AC106:AC110)</f>
        <v>530000956</v>
      </c>
      <c r="AD105" s="1366">
        <f t="shared" si="53"/>
        <v>0.96363810181818177</v>
      </c>
      <c r="AE105" s="145">
        <f t="shared" si="90"/>
        <v>13220972</v>
      </c>
      <c r="AF105" s="145">
        <f t="shared" si="90"/>
        <v>0</v>
      </c>
      <c r="AG105" s="145">
        <f t="shared" si="90"/>
        <v>0</v>
      </c>
      <c r="AH105" s="1279" t="e">
        <f t="shared" si="90"/>
        <v>#DIV/0!</v>
      </c>
      <c r="AI105" s="145">
        <f t="shared" si="90"/>
        <v>4520000000</v>
      </c>
      <c r="AJ105" s="145">
        <f t="shared" si="90"/>
        <v>555221928</v>
      </c>
      <c r="AK105" s="1271">
        <f t="shared" si="55"/>
        <v>0.12283670973451327</v>
      </c>
      <c r="AL105" s="159"/>
      <c r="AM105" s="159"/>
      <c r="AN105" s="482"/>
      <c r="AO105" s="145"/>
      <c r="AP105" s="483"/>
      <c r="AQ105" s="101"/>
    </row>
    <row r="106" spans="1:43" ht="242.25" x14ac:dyDescent="0.25">
      <c r="A106" s="1989" t="s">
        <v>1522</v>
      </c>
      <c r="B106" s="339" t="s">
        <v>774</v>
      </c>
      <c r="C106" s="374">
        <v>15</v>
      </c>
      <c r="D106" s="184">
        <v>50</v>
      </c>
      <c r="E106" s="1234">
        <v>0</v>
      </c>
      <c r="F106" s="1232">
        <v>50</v>
      </c>
      <c r="G106" s="1232">
        <v>15</v>
      </c>
      <c r="H106" s="167">
        <f t="shared" ref="H106:H110" si="91">IF((E106+G106)/C106&gt;=100%,100%,(E106+G106)/C106)</f>
        <v>1</v>
      </c>
      <c r="I106" s="520">
        <f t="shared" ref="I106:I109" si="92">IF(F106/D106&gt;=100%,100%,F106/D106)</f>
        <v>1</v>
      </c>
      <c r="J106" s="1235" t="s">
        <v>1492</v>
      </c>
      <c r="K106" s="1235"/>
      <c r="L106" s="1236"/>
      <c r="M106" s="1237"/>
      <c r="N106" s="1238"/>
      <c r="O106" s="1235"/>
      <c r="P106" s="1235"/>
      <c r="Q106" s="1235"/>
      <c r="R106" s="1239"/>
      <c r="S106" s="1235"/>
      <c r="T106" s="1274">
        <v>133</v>
      </c>
      <c r="U106" s="1241">
        <f t="shared" ref="U106:U110" si="93">SUM(E106:F106)</f>
        <v>50</v>
      </c>
      <c r="V106" s="152">
        <f t="shared" ref="V106:V110" si="94">IF(U106/T106&gt;=100%,100%,U106/T106)</f>
        <v>0.37593984962406013</v>
      </c>
      <c r="W106" s="410">
        <v>0.45</v>
      </c>
      <c r="X106" s="395">
        <v>0.47</v>
      </c>
      <c r="Y106" s="467">
        <v>200000000</v>
      </c>
      <c r="Z106" s="280">
        <v>12000000</v>
      </c>
      <c r="AA106" s="1242">
        <v>197570441</v>
      </c>
      <c r="AB106" s="208">
        <f t="shared" si="52"/>
        <v>0.98785220500000004</v>
      </c>
      <c r="AC106" s="1347">
        <v>192958473</v>
      </c>
      <c r="AD106" s="1240">
        <f t="shared" si="53"/>
        <v>0.96479236499999999</v>
      </c>
      <c r="AE106" s="1247">
        <f>+AA106-AC106</f>
        <v>4611968</v>
      </c>
      <c r="AF106" s="1242"/>
      <c r="AG106" s="1242"/>
      <c r="AH106" s="506" t="e">
        <f t="shared" si="54"/>
        <v>#DIV/0!</v>
      </c>
      <c r="AI106" s="1255">
        <v>2600000000</v>
      </c>
      <c r="AJ106" s="1255">
        <f>+SUM(Z106:AA106)</f>
        <v>209570441</v>
      </c>
      <c r="AK106" s="1272">
        <f t="shared" si="55"/>
        <v>8.0604015769230763E-2</v>
      </c>
      <c r="AL106" s="1248"/>
      <c r="AM106" s="1248"/>
      <c r="AN106" s="1249" t="s">
        <v>30</v>
      </c>
      <c r="AO106" s="488" t="s">
        <v>912</v>
      </c>
      <c r="AP106" s="1250"/>
      <c r="AQ106" s="1251"/>
    </row>
    <row r="107" spans="1:43" ht="204" x14ac:dyDescent="0.25">
      <c r="A107" s="255" t="s">
        <v>584</v>
      </c>
      <c r="B107" s="339" t="s">
        <v>775</v>
      </c>
      <c r="C107" s="374">
        <v>5</v>
      </c>
      <c r="D107" s="184">
        <v>20</v>
      </c>
      <c r="E107" s="1234">
        <v>0</v>
      </c>
      <c r="F107" s="1232">
        <v>20</v>
      </c>
      <c r="G107" s="1232">
        <v>5</v>
      </c>
      <c r="H107" s="167">
        <f t="shared" si="91"/>
        <v>1</v>
      </c>
      <c r="I107" s="520">
        <f t="shared" si="92"/>
        <v>1</v>
      </c>
      <c r="J107" s="1235" t="s">
        <v>1493</v>
      </c>
      <c r="K107" s="1235"/>
      <c r="L107" s="1236"/>
      <c r="M107" s="1237"/>
      <c r="N107" s="1238"/>
      <c r="O107" s="1235"/>
      <c r="P107" s="1235"/>
      <c r="Q107" s="1235"/>
      <c r="R107" s="1239"/>
      <c r="S107" s="1235"/>
      <c r="T107" s="1274">
        <v>50</v>
      </c>
      <c r="U107" s="1241">
        <f t="shared" si="93"/>
        <v>20</v>
      </c>
      <c r="V107" s="152">
        <f t="shared" si="94"/>
        <v>0.4</v>
      </c>
      <c r="W107" s="410">
        <v>0.25</v>
      </c>
      <c r="X107" s="395">
        <v>0.26</v>
      </c>
      <c r="Y107" s="467">
        <v>100000000</v>
      </c>
      <c r="Z107" s="279">
        <v>0</v>
      </c>
      <c r="AA107" s="1242">
        <v>99068176</v>
      </c>
      <c r="AB107" s="208">
        <f t="shared" si="52"/>
        <v>0.99068175999999997</v>
      </c>
      <c r="AC107" s="1347">
        <v>97223390</v>
      </c>
      <c r="AD107" s="1240">
        <f t="shared" si="53"/>
        <v>0.97223389999999998</v>
      </c>
      <c r="AE107" s="1247">
        <f>+AA107-AC107</f>
        <v>1844786</v>
      </c>
      <c r="AF107" s="1242"/>
      <c r="AG107" s="1242"/>
      <c r="AH107" s="506" t="e">
        <f t="shared" si="54"/>
        <v>#DIV/0!</v>
      </c>
      <c r="AI107" s="1255">
        <v>1000000000</v>
      </c>
      <c r="AJ107" s="1255">
        <f t="shared" ref="AJ107:AJ110" si="95">+SUM(Z107:AA107)</f>
        <v>99068176</v>
      </c>
      <c r="AK107" s="1272">
        <f t="shared" si="55"/>
        <v>9.9068175999999994E-2</v>
      </c>
      <c r="AL107" s="1248"/>
      <c r="AM107" s="1248"/>
      <c r="AN107" s="1249" t="s">
        <v>30</v>
      </c>
      <c r="AO107" s="488" t="s">
        <v>912</v>
      </c>
      <c r="AP107" s="1250"/>
      <c r="AQ107" s="1251"/>
    </row>
    <row r="108" spans="1:43" ht="114.75" x14ac:dyDescent="0.25">
      <c r="A108" s="255" t="s">
        <v>585</v>
      </c>
      <c r="B108" s="339" t="s">
        <v>776</v>
      </c>
      <c r="C108" s="374">
        <v>1</v>
      </c>
      <c r="D108" s="184">
        <v>1</v>
      </c>
      <c r="E108" s="1234">
        <v>1</v>
      </c>
      <c r="F108" s="1232">
        <v>1</v>
      </c>
      <c r="G108" s="1232"/>
      <c r="H108" s="167">
        <f t="shared" si="91"/>
        <v>1</v>
      </c>
      <c r="I108" s="520">
        <f t="shared" si="92"/>
        <v>1</v>
      </c>
      <c r="J108" s="1235" t="s">
        <v>970</v>
      </c>
      <c r="K108" s="1235"/>
      <c r="L108" s="1236"/>
      <c r="M108" s="1237"/>
      <c r="N108" s="1238"/>
      <c r="O108" s="1235"/>
      <c r="P108" s="1235"/>
      <c r="Q108" s="1235"/>
      <c r="R108" s="1239"/>
      <c r="S108" s="1235"/>
      <c r="T108" s="1274">
        <v>4</v>
      </c>
      <c r="U108" s="1241">
        <f t="shared" si="93"/>
        <v>2</v>
      </c>
      <c r="V108" s="152">
        <f t="shared" si="94"/>
        <v>0.5</v>
      </c>
      <c r="W108" s="410">
        <v>0.15</v>
      </c>
      <c r="X108" s="395">
        <v>0.17</v>
      </c>
      <c r="Y108" s="467">
        <v>50000000</v>
      </c>
      <c r="Z108" s="280">
        <v>0</v>
      </c>
      <c r="AA108" s="1242">
        <v>49378784</v>
      </c>
      <c r="AB108" s="208">
        <f t="shared" si="52"/>
        <v>0.98757567999999996</v>
      </c>
      <c r="AC108" s="1347">
        <v>48148926</v>
      </c>
      <c r="AD108" s="1240">
        <f t="shared" si="53"/>
        <v>0.96297851999999995</v>
      </c>
      <c r="AE108" s="1247">
        <f>+AA108-AC108</f>
        <v>1229858</v>
      </c>
      <c r="AF108" s="1242"/>
      <c r="AG108" s="1242"/>
      <c r="AH108" s="506" t="e">
        <f t="shared" si="54"/>
        <v>#DIV/0!</v>
      </c>
      <c r="AI108" s="1255">
        <v>400000000</v>
      </c>
      <c r="AJ108" s="1255">
        <f t="shared" si="95"/>
        <v>49378784</v>
      </c>
      <c r="AK108" s="1272">
        <f t="shared" si="55"/>
        <v>0.12344695999999999</v>
      </c>
      <c r="AL108" s="1248"/>
      <c r="AM108" s="1248"/>
      <c r="AN108" s="1249" t="s">
        <v>30</v>
      </c>
      <c r="AO108" s="1882" t="s">
        <v>912</v>
      </c>
      <c r="AP108" s="1250"/>
      <c r="AQ108" s="1251"/>
    </row>
    <row r="109" spans="1:43" ht="89.25" x14ac:dyDescent="0.25">
      <c r="A109" s="256" t="s">
        <v>586</v>
      </c>
      <c r="B109" s="339" t="s">
        <v>777</v>
      </c>
      <c r="C109" s="374">
        <v>0</v>
      </c>
      <c r="D109" s="184">
        <v>1</v>
      </c>
      <c r="E109" s="1234">
        <v>0</v>
      </c>
      <c r="F109" s="1232">
        <v>1</v>
      </c>
      <c r="G109" s="1232"/>
      <c r="H109" s="167" t="e">
        <f t="shared" si="91"/>
        <v>#DIV/0!</v>
      </c>
      <c r="I109" s="520">
        <f t="shared" si="92"/>
        <v>1</v>
      </c>
      <c r="J109" s="1235" t="s">
        <v>971</v>
      </c>
      <c r="K109" s="1235"/>
      <c r="L109" s="1236"/>
      <c r="M109" s="1237"/>
      <c r="N109" s="1238"/>
      <c r="O109" s="1235"/>
      <c r="P109" s="1235"/>
      <c r="Q109" s="1235"/>
      <c r="R109" s="1239"/>
      <c r="S109" s="1235"/>
      <c r="T109" s="1274">
        <v>1</v>
      </c>
      <c r="U109" s="1241">
        <f t="shared" si="93"/>
        <v>1</v>
      </c>
      <c r="V109" s="152">
        <f t="shared" si="94"/>
        <v>1</v>
      </c>
      <c r="W109" s="411">
        <v>0.08</v>
      </c>
      <c r="X109" s="395">
        <v>0.1</v>
      </c>
      <c r="Y109" s="467">
        <v>200000000</v>
      </c>
      <c r="Z109" s="429" t="s">
        <v>892</v>
      </c>
      <c r="AA109" s="1242">
        <v>197204527</v>
      </c>
      <c r="AB109" s="208">
        <f t="shared" si="52"/>
        <v>0.98602263499999998</v>
      </c>
      <c r="AC109" s="1347">
        <v>191670167</v>
      </c>
      <c r="AD109" s="1240">
        <f t="shared" si="53"/>
        <v>0.95835083499999996</v>
      </c>
      <c r="AE109" s="1247">
        <f>+AA109-AC109</f>
        <v>5534360</v>
      </c>
      <c r="AF109" s="1242"/>
      <c r="AG109" s="1242"/>
      <c r="AH109" s="506" t="e">
        <f t="shared" si="54"/>
        <v>#DIV/0!</v>
      </c>
      <c r="AI109" s="1255">
        <v>400000000</v>
      </c>
      <c r="AJ109" s="1255">
        <f t="shared" si="95"/>
        <v>197204527</v>
      </c>
      <c r="AK109" s="1272">
        <f t="shared" si="55"/>
        <v>0.49301131749999999</v>
      </c>
      <c r="AL109" s="1248"/>
      <c r="AM109" s="1248"/>
      <c r="AN109" s="1249" t="s">
        <v>30</v>
      </c>
      <c r="AO109" s="1874"/>
      <c r="AP109" s="1250"/>
      <c r="AQ109" s="1251"/>
    </row>
    <row r="110" spans="1:43" ht="89.25" x14ac:dyDescent="0.25">
      <c r="A110" s="1367" t="s">
        <v>587</v>
      </c>
      <c r="B110" s="339" t="s">
        <v>778</v>
      </c>
      <c r="C110" s="374">
        <v>0</v>
      </c>
      <c r="D110" s="184">
        <v>0</v>
      </c>
      <c r="E110" s="1234">
        <v>0</v>
      </c>
      <c r="F110" s="1232"/>
      <c r="G110" s="1232"/>
      <c r="H110" s="167" t="e">
        <f t="shared" si="91"/>
        <v>#DIV/0!</v>
      </c>
      <c r="I110" s="520">
        <v>0</v>
      </c>
      <c r="J110" s="1235" t="s">
        <v>971</v>
      </c>
      <c r="K110" s="1235"/>
      <c r="L110" s="1236"/>
      <c r="M110" s="1237"/>
      <c r="N110" s="1238"/>
      <c r="O110" s="1235"/>
      <c r="P110" s="1235"/>
      <c r="Q110" s="1235"/>
      <c r="R110" s="1239"/>
      <c r="S110" s="1235"/>
      <c r="T110" s="1274">
        <v>1</v>
      </c>
      <c r="U110" s="1241">
        <f t="shared" si="93"/>
        <v>0</v>
      </c>
      <c r="V110" s="152">
        <f t="shared" si="94"/>
        <v>0</v>
      </c>
      <c r="W110" s="411">
        <v>7.0000000000000007E-2</v>
      </c>
      <c r="X110" s="395">
        <v>0</v>
      </c>
      <c r="Y110" s="1368" t="s">
        <v>892</v>
      </c>
      <c r="Z110" s="429">
        <v>0</v>
      </c>
      <c r="AA110" s="1242"/>
      <c r="AB110" s="208" t="e">
        <f t="shared" si="52"/>
        <v>#DIV/0!</v>
      </c>
      <c r="AC110" s="1347"/>
      <c r="AD110" s="1249" t="e">
        <f t="shared" si="53"/>
        <v>#DIV/0!</v>
      </c>
      <c r="AE110" s="1244"/>
      <c r="AF110" s="1242"/>
      <c r="AG110" s="1242"/>
      <c r="AH110" s="506" t="e">
        <f t="shared" si="54"/>
        <v>#DIV/0!</v>
      </c>
      <c r="AI110" s="1255">
        <v>120000000</v>
      </c>
      <c r="AJ110" s="1255">
        <f t="shared" si="95"/>
        <v>0</v>
      </c>
      <c r="AK110" s="1272">
        <f t="shared" si="55"/>
        <v>0</v>
      </c>
      <c r="AL110" s="1248"/>
      <c r="AM110" s="1248"/>
      <c r="AN110" s="1249" t="s">
        <v>30</v>
      </c>
      <c r="AO110" s="1870"/>
      <c r="AP110" s="1250"/>
      <c r="AQ110" s="1251"/>
    </row>
    <row r="111" spans="1:43" ht="25.5" x14ac:dyDescent="0.25">
      <c r="A111" s="241" t="s">
        <v>470</v>
      </c>
      <c r="B111" s="140"/>
      <c r="C111" s="141"/>
      <c r="D111" s="187"/>
      <c r="E111" s="181"/>
      <c r="F111" s="141"/>
      <c r="G111" s="141"/>
      <c r="H111" s="142">
        <f>+(H112*100%)</f>
        <v>1</v>
      </c>
      <c r="I111" s="157">
        <f>+SUMPRODUCT(I112:I113,X112:X113)</f>
        <v>1</v>
      </c>
      <c r="J111" s="143"/>
      <c r="K111" s="143"/>
      <c r="L111" s="143"/>
      <c r="M111" s="144"/>
      <c r="N111" s="144"/>
      <c r="O111" s="143"/>
      <c r="P111" s="143"/>
      <c r="Q111" s="143"/>
      <c r="R111" s="158"/>
      <c r="S111" s="143"/>
      <c r="T111" s="1226"/>
      <c r="U111" s="201"/>
      <c r="V111" s="165">
        <f>+SUMPRODUCT(V112:V113,W112:W113)</f>
        <v>0.31212121212121213</v>
      </c>
      <c r="W111" s="142">
        <v>0.25</v>
      </c>
      <c r="X111" s="394">
        <v>0.25</v>
      </c>
      <c r="Y111" s="145">
        <f>SUM(Y112:Y113)</f>
        <v>850000000</v>
      </c>
      <c r="Z111" s="145">
        <f>SUM(Z112:Z113)</f>
        <v>0</v>
      </c>
      <c r="AA111" s="145">
        <f>SUM(AA112:AA113)</f>
        <v>839271646</v>
      </c>
      <c r="AB111" s="207">
        <f t="shared" si="52"/>
        <v>0.98737840705882352</v>
      </c>
      <c r="AC111" s="145">
        <f>SUM(AC112:AC113)</f>
        <v>707325355</v>
      </c>
      <c r="AD111" s="1225">
        <f t="shared" si="53"/>
        <v>0.83214747647058829</v>
      </c>
      <c r="AE111" s="145">
        <f>SUM(AE112:AE113)</f>
        <v>131946291</v>
      </c>
      <c r="AF111" s="145">
        <f>SUM(AF112:AF113)</f>
        <v>0</v>
      </c>
      <c r="AG111" s="145">
        <f>SUM(AG112:AG113)</f>
        <v>0</v>
      </c>
      <c r="AH111" s="505" t="e">
        <f t="shared" si="54"/>
        <v>#DIV/0!</v>
      </c>
      <c r="AI111" s="145">
        <f t="shared" ref="AI111:AJ111" si="96">SUM(AI112:AI113)</f>
        <v>3530000000</v>
      </c>
      <c r="AJ111" s="145">
        <f t="shared" si="96"/>
        <v>839271646</v>
      </c>
      <c r="AK111" s="1271">
        <f t="shared" si="55"/>
        <v>0.23775400736543909</v>
      </c>
      <c r="AL111" s="159"/>
      <c r="AM111" s="159"/>
      <c r="AN111" s="482"/>
      <c r="AO111" s="145"/>
      <c r="AP111" s="483"/>
      <c r="AQ111" s="101"/>
    </row>
    <row r="112" spans="1:43" ht="204" x14ac:dyDescent="0.25">
      <c r="A112" s="253" t="s">
        <v>588</v>
      </c>
      <c r="B112" s="339" t="s">
        <v>779</v>
      </c>
      <c r="C112" s="373">
        <v>5</v>
      </c>
      <c r="D112" s="307">
        <v>10</v>
      </c>
      <c r="E112" s="1234">
        <v>0</v>
      </c>
      <c r="F112" s="1232">
        <v>10</v>
      </c>
      <c r="G112" s="1232">
        <v>5</v>
      </c>
      <c r="H112" s="167">
        <f t="shared" ref="H112:H113" si="97">IF((E112+G112)/C112&gt;=100%,100%,(E112+G112)/C112)</f>
        <v>1</v>
      </c>
      <c r="I112" s="520">
        <f t="shared" ref="I112:I113" si="98">IF(F112/D112&gt;=100%,100%,F112/D112)</f>
        <v>1</v>
      </c>
      <c r="J112" s="1235" t="s">
        <v>1494</v>
      </c>
      <c r="K112" s="1235"/>
      <c r="L112" s="1236"/>
      <c r="M112" s="1237"/>
      <c r="N112" s="1238"/>
      <c r="O112" s="1235"/>
      <c r="P112" s="1235"/>
      <c r="Q112" s="1235"/>
      <c r="R112" s="1239"/>
      <c r="S112" s="1235"/>
      <c r="T112" s="1274">
        <v>33</v>
      </c>
      <c r="U112" s="1241">
        <f t="shared" ref="U112:U113" si="99">SUM(E112:F112)</f>
        <v>10</v>
      </c>
      <c r="V112" s="152">
        <f t="shared" ref="V112:V113" si="100">IF(U112/T112&gt;=100%,100%,U112/T112)</f>
        <v>0.30303030303030304</v>
      </c>
      <c r="W112" s="1327">
        <v>0.7</v>
      </c>
      <c r="X112" s="1369">
        <v>0.7</v>
      </c>
      <c r="Y112" s="465">
        <v>500000000</v>
      </c>
      <c r="Z112" s="280">
        <v>0</v>
      </c>
      <c r="AA112" s="1242">
        <v>493930767</v>
      </c>
      <c r="AB112" s="208">
        <f t="shared" si="52"/>
        <v>0.98786153399999999</v>
      </c>
      <c r="AC112" s="1347">
        <v>371208408</v>
      </c>
      <c r="AD112" s="1240">
        <f t="shared" si="53"/>
        <v>0.74241681599999998</v>
      </c>
      <c r="AE112" s="1247">
        <f>+AA112-AC112</f>
        <v>122722359</v>
      </c>
      <c r="AF112" s="1242"/>
      <c r="AG112" s="1242"/>
      <c r="AH112" s="506" t="e">
        <f t="shared" si="54"/>
        <v>#DIV/0!</v>
      </c>
      <c r="AI112" s="1255">
        <v>2480000000</v>
      </c>
      <c r="AJ112" s="1255">
        <f>+SUM(Z112:AA112)</f>
        <v>493930767</v>
      </c>
      <c r="AK112" s="1272">
        <f t="shared" si="55"/>
        <v>0.19916563185483871</v>
      </c>
      <c r="AL112" s="1248"/>
      <c r="AM112" s="1248"/>
      <c r="AN112" s="1249" t="s">
        <v>30</v>
      </c>
      <c r="AO112" s="1370" t="s">
        <v>912</v>
      </c>
      <c r="AP112" s="1250"/>
      <c r="AQ112" s="1251"/>
    </row>
    <row r="113" spans="1:43" ht="204" x14ac:dyDescent="0.25">
      <c r="A113" s="253" t="s">
        <v>589</v>
      </c>
      <c r="B113" s="339" t="s">
        <v>780</v>
      </c>
      <c r="C113" s="373">
        <v>0</v>
      </c>
      <c r="D113" s="307">
        <v>110</v>
      </c>
      <c r="E113" s="1234">
        <v>0</v>
      </c>
      <c r="F113" s="1232">
        <v>110</v>
      </c>
      <c r="G113" s="1232"/>
      <c r="H113" s="167" t="e">
        <f t="shared" si="97"/>
        <v>#DIV/0!</v>
      </c>
      <c r="I113" s="520">
        <f t="shared" si="98"/>
        <v>1</v>
      </c>
      <c r="J113" s="1235" t="s">
        <v>972</v>
      </c>
      <c r="K113" s="1235"/>
      <c r="L113" s="1236"/>
      <c r="M113" s="1237"/>
      <c r="N113" s="1238"/>
      <c r="O113" s="1235"/>
      <c r="P113" s="1235"/>
      <c r="Q113" s="1235"/>
      <c r="R113" s="1239"/>
      <c r="S113" s="1235"/>
      <c r="T113" s="1274">
        <v>330</v>
      </c>
      <c r="U113" s="1241">
        <f t="shared" si="99"/>
        <v>110</v>
      </c>
      <c r="V113" s="152">
        <f t="shared" si="100"/>
        <v>0.33333333333333331</v>
      </c>
      <c r="W113" s="1327">
        <v>0.3</v>
      </c>
      <c r="X113" s="1369">
        <v>0.3</v>
      </c>
      <c r="Y113" s="465">
        <v>350000000</v>
      </c>
      <c r="Z113" s="429" t="s">
        <v>892</v>
      </c>
      <c r="AA113" s="1242">
        <v>345340879</v>
      </c>
      <c r="AB113" s="208">
        <f t="shared" si="52"/>
        <v>0.98668822571428572</v>
      </c>
      <c r="AC113" s="1347">
        <v>336116947</v>
      </c>
      <c r="AD113" s="1240">
        <f t="shared" si="53"/>
        <v>0.96033413428571424</v>
      </c>
      <c r="AE113" s="1247">
        <f>+AA113-AC113</f>
        <v>9223932</v>
      </c>
      <c r="AF113" s="1242"/>
      <c r="AG113" s="1242"/>
      <c r="AH113" s="506" t="e">
        <f t="shared" si="54"/>
        <v>#DIV/0!</v>
      </c>
      <c r="AI113" s="1255">
        <v>1050000000</v>
      </c>
      <c r="AJ113" s="1255">
        <f>+SUM(Z113:AA113)</f>
        <v>345340879</v>
      </c>
      <c r="AK113" s="1272">
        <f t="shared" si="55"/>
        <v>0.32889607523809522</v>
      </c>
      <c r="AL113" s="1248"/>
      <c r="AM113" s="1248"/>
      <c r="AN113" s="1249" t="s">
        <v>22</v>
      </c>
      <c r="AO113" s="1370" t="s">
        <v>912</v>
      </c>
      <c r="AP113" s="1250"/>
      <c r="AQ113" s="1251"/>
    </row>
    <row r="114" spans="1:43" ht="38.25" x14ac:dyDescent="0.25">
      <c r="A114" s="241" t="s">
        <v>471</v>
      </c>
      <c r="B114" s="140"/>
      <c r="C114" s="141"/>
      <c r="D114" s="187"/>
      <c r="E114" s="1371"/>
      <c r="F114" s="141"/>
      <c r="G114" s="141"/>
      <c r="H114" s="142">
        <f>+SUMPRODUCT(H115:H116,W115:W116)</f>
        <v>0</v>
      </c>
      <c r="I114" s="157">
        <f>+SUMPRODUCT(I115:I116,X115:X116)</f>
        <v>0.75</v>
      </c>
      <c r="J114" s="143"/>
      <c r="K114" s="143"/>
      <c r="L114" s="143"/>
      <c r="M114" s="144"/>
      <c r="N114" s="144"/>
      <c r="O114" s="143"/>
      <c r="P114" s="143"/>
      <c r="Q114" s="143"/>
      <c r="R114" s="158"/>
      <c r="S114" s="143"/>
      <c r="T114" s="1226"/>
      <c r="U114" s="201"/>
      <c r="V114" s="165">
        <f>+SUMPRODUCT(V115:V116,W115:W116)</f>
        <v>0.41165413533834588</v>
      </c>
      <c r="W114" s="142">
        <v>0.25</v>
      </c>
      <c r="X114" s="394">
        <v>0.25</v>
      </c>
      <c r="Y114" s="145">
        <f>SUM(Y115:Y116)</f>
        <v>620000000</v>
      </c>
      <c r="Z114" s="145">
        <f>SUM(Z115:Z116)</f>
        <v>774538631</v>
      </c>
      <c r="AA114" s="145">
        <f>SUM(AA115:AA116)</f>
        <v>611768885</v>
      </c>
      <c r="AB114" s="207">
        <f t="shared" si="52"/>
        <v>0.9867240080645161</v>
      </c>
      <c r="AC114" s="145">
        <f>SUM(AC115:AC116)</f>
        <v>453723271</v>
      </c>
      <c r="AD114" s="1225">
        <f t="shared" si="53"/>
        <v>0.73181172741935485</v>
      </c>
      <c r="AE114" s="145">
        <f>SUM(AE115:AE116)</f>
        <v>158045614</v>
      </c>
      <c r="AF114" s="145">
        <f>SUM(AF115:AF116)</f>
        <v>38664523</v>
      </c>
      <c r="AG114" s="145">
        <f>SUM(AG115:AG116)</f>
        <v>35671583</v>
      </c>
      <c r="AH114" s="505">
        <f t="shared" si="54"/>
        <v>0.92259208784238722</v>
      </c>
      <c r="AI114" s="145">
        <f t="shared" ref="AI114:AJ114" si="101">SUM(AI115:AI116)</f>
        <v>3240000000</v>
      </c>
      <c r="AJ114" s="145">
        <f t="shared" si="101"/>
        <v>1386307516</v>
      </c>
      <c r="AK114" s="1271">
        <f t="shared" si="55"/>
        <v>0.4278726901234568</v>
      </c>
      <c r="AL114" s="159"/>
      <c r="AM114" s="159"/>
      <c r="AN114" s="482"/>
      <c r="AO114" s="145"/>
      <c r="AP114" s="483"/>
      <c r="AQ114" s="101"/>
    </row>
    <row r="115" spans="1:43" ht="127.5" x14ac:dyDescent="0.25">
      <c r="A115" s="1372" t="s">
        <v>590</v>
      </c>
      <c r="B115" s="339" t="s">
        <v>781</v>
      </c>
      <c r="C115" s="294">
        <v>2</v>
      </c>
      <c r="D115" s="308">
        <v>2</v>
      </c>
      <c r="E115" s="1234">
        <v>0</v>
      </c>
      <c r="F115" s="1232"/>
      <c r="G115" s="1232">
        <v>0</v>
      </c>
      <c r="H115" s="167">
        <f t="shared" ref="H115:H116" si="102">IF((E115+G115)/C115&gt;=100%,100%,(E115+G115)/C115)</f>
        <v>0</v>
      </c>
      <c r="I115" s="520">
        <f t="shared" ref="I115:I116" si="103">IF(F115/D115&gt;=100%,100%,F115/D115)</f>
        <v>0</v>
      </c>
      <c r="J115" s="1235" t="s">
        <v>1495</v>
      </c>
      <c r="K115" s="1235"/>
      <c r="L115" s="1236"/>
      <c r="M115" s="1237"/>
      <c r="N115" s="1238"/>
      <c r="O115" s="1235"/>
      <c r="P115" s="1235"/>
      <c r="Q115" s="1235"/>
      <c r="R115" s="1239"/>
      <c r="S115" s="1235"/>
      <c r="T115" s="1274">
        <v>7</v>
      </c>
      <c r="U115" s="1241">
        <f t="shared" ref="U115:U116" si="104">SUM(E115:F115)</f>
        <v>0</v>
      </c>
      <c r="V115" s="152">
        <f t="shared" ref="V115:V116" si="105">IF(U115/T115&gt;=100%,100%,U115/T115)</f>
        <v>0</v>
      </c>
      <c r="W115" s="1327">
        <v>0.25</v>
      </c>
      <c r="X115" s="1369">
        <v>0.25</v>
      </c>
      <c r="Y115" s="468">
        <v>200000000</v>
      </c>
      <c r="Z115" s="281">
        <v>774538631</v>
      </c>
      <c r="AA115" s="1242">
        <v>197204527</v>
      </c>
      <c r="AB115" s="208">
        <f t="shared" si="52"/>
        <v>0.98602263499999998</v>
      </c>
      <c r="AC115" s="1347">
        <v>151420167</v>
      </c>
      <c r="AD115" s="1240">
        <f t="shared" si="53"/>
        <v>0.75710083500000003</v>
      </c>
      <c r="AE115" s="1247">
        <f>+AA115-AC115</f>
        <v>45784360</v>
      </c>
      <c r="AF115" s="1242">
        <v>38664523</v>
      </c>
      <c r="AG115" s="1242">
        <v>35671583</v>
      </c>
      <c r="AH115" s="506">
        <f t="shared" si="54"/>
        <v>0.92259208784238722</v>
      </c>
      <c r="AI115" s="1255">
        <v>840000000</v>
      </c>
      <c r="AJ115" s="1255">
        <f t="shared" ref="AJ115:AJ116" si="106">+SUM(Z115:AA115)</f>
        <v>971743158</v>
      </c>
      <c r="AK115" s="1287">
        <f t="shared" si="55"/>
        <v>1.1568370928571428</v>
      </c>
      <c r="AL115" s="1248"/>
      <c r="AM115" s="1248"/>
      <c r="AN115" s="1249" t="s">
        <v>30</v>
      </c>
      <c r="AO115" s="1883" t="s">
        <v>910</v>
      </c>
      <c r="AP115" s="1250"/>
      <c r="AQ115" s="1251"/>
    </row>
    <row r="116" spans="1:43" ht="127.5" x14ac:dyDescent="0.25">
      <c r="A116" s="1372" t="s">
        <v>591</v>
      </c>
      <c r="B116" s="339" t="s">
        <v>782</v>
      </c>
      <c r="C116" s="1373">
        <v>25</v>
      </c>
      <c r="D116" s="1374">
        <v>73</v>
      </c>
      <c r="E116" s="1234">
        <v>0</v>
      </c>
      <c r="F116" s="1232">
        <v>73</v>
      </c>
      <c r="G116" s="1232">
        <v>0</v>
      </c>
      <c r="H116" s="167">
        <f t="shared" si="102"/>
        <v>0</v>
      </c>
      <c r="I116" s="520">
        <f t="shared" si="103"/>
        <v>1</v>
      </c>
      <c r="J116" s="1235" t="s">
        <v>973</v>
      </c>
      <c r="K116" s="1235"/>
      <c r="L116" s="1236"/>
      <c r="M116" s="1237"/>
      <c r="N116" s="1238"/>
      <c r="O116" s="1235"/>
      <c r="P116" s="1235"/>
      <c r="Q116" s="1235"/>
      <c r="R116" s="1239"/>
      <c r="S116" s="1235"/>
      <c r="T116" s="1274">
        <v>133</v>
      </c>
      <c r="U116" s="1241">
        <f t="shared" si="104"/>
        <v>73</v>
      </c>
      <c r="V116" s="152">
        <f t="shared" si="105"/>
        <v>0.54887218045112784</v>
      </c>
      <c r="W116" s="1327">
        <v>0.75</v>
      </c>
      <c r="X116" s="1369">
        <v>0.75</v>
      </c>
      <c r="Y116" s="468">
        <v>420000000</v>
      </c>
      <c r="Z116" s="281">
        <v>0</v>
      </c>
      <c r="AA116" s="1242">
        <v>414564358</v>
      </c>
      <c r="AB116" s="208">
        <f t="shared" si="52"/>
        <v>0.98705799523809523</v>
      </c>
      <c r="AC116" s="1347">
        <v>302303104</v>
      </c>
      <c r="AD116" s="1240">
        <f t="shared" si="53"/>
        <v>0.71976929523809519</v>
      </c>
      <c r="AE116" s="1247">
        <f>+AA116-AC116</f>
        <v>112261254</v>
      </c>
      <c r="AF116" s="1242"/>
      <c r="AG116" s="1242"/>
      <c r="AH116" s="506" t="e">
        <f t="shared" si="54"/>
        <v>#DIV/0!</v>
      </c>
      <c r="AI116" s="1255">
        <v>2400000000</v>
      </c>
      <c r="AJ116" s="1255">
        <f t="shared" si="106"/>
        <v>414564358</v>
      </c>
      <c r="AK116" s="1272">
        <f t="shared" si="55"/>
        <v>0.17273514916666666</v>
      </c>
      <c r="AL116" s="1248"/>
      <c r="AM116" s="1248"/>
      <c r="AN116" s="1249" t="s">
        <v>22</v>
      </c>
      <c r="AO116" s="1870"/>
      <c r="AP116" s="1250"/>
      <c r="AQ116" s="1251"/>
    </row>
    <row r="117" spans="1:43" ht="38.25" x14ac:dyDescent="0.25">
      <c r="A117" s="1201" t="s">
        <v>433</v>
      </c>
      <c r="B117" s="1202"/>
      <c r="C117" s="1375"/>
      <c r="D117" s="1376"/>
      <c r="E117" s="1205"/>
      <c r="F117" s="1203"/>
      <c r="G117" s="1203"/>
      <c r="H117" s="1206">
        <f>+(H118*W118)+(H121*W121)+(H125*W125)+(H132*W132)</f>
        <v>1</v>
      </c>
      <c r="I117" s="1260">
        <f>+(I118*X118)+(I121*X121)+(I125*X125)+(I132*X132)</f>
        <v>1</v>
      </c>
      <c r="J117" s="1207"/>
      <c r="K117" s="1207"/>
      <c r="L117" s="1207"/>
      <c r="M117" s="1208"/>
      <c r="N117" s="1208"/>
      <c r="O117" s="1207"/>
      <c r="P117" s="1207"/>
      <c r="Q117" s="1207"/>
      <c r="R117" s="1310"/>
      <c r="S117" s="1207"/>
      <c r="T117" s="1210"/>
      <c r="U117" s="1211"/>
      <c r="V117" s="1212">
        <f>+(V118*W118)+(V121*W121)+(V125*W125)+(V132*W132)</f>
        <v>0.43431818181818183</v>
      </c>
      <c r="W117" s="1213">
        <v>0.35</v>
      </c>
      <c r="X117" s="1214">
        <v>0.35</v>
      </c>
      <c r="Y117" s="1215">
        <f>+Y118+Y121+Y125+Y132</f>
        <v>1485000000</v>
      </c>
      <c r="Z117" s="1215">
        <f>+Z118+Z121+Z125+Z132</f>
        <v>874500000</v>
      </c>
      <c r="AA117" s="1215">
        <f>+AA118+AA121+AA125+AA132</f>
        <v>1463313971.6800001</v>
      </c>
      <c r="AB117" s="1216">
        <f t="shared" si="52"/>
        <v>0.98539661392592592</v>
      </c>
      <c r="AC117" s="1215">
        <f>+AC118+AC121+AC125+AC132</f>
        <v>1300268561</v>
      </c>
      <c r="AD117" s="1218">
        <f t="shared" si="53"/>
        <v>0.87560172457912455</v>
      </c>
      <c r="AE117" s="1215">
        <f>+AE118+AE121+AE125+AE132</f>
        <v>163045410.68000001</v>
      </c>
      <c r="AF117" s="1215">
        <f>+AF118+AF121+AF125+AF132</f>
        <v>780000000</v>
      </c>
      <c r="AG117" s="1215">
        <f>+AG118+AG121+AG125+AG132</f>
        <v>692000000</v>
      </c>
      <c r="AH117" s="1219">
        <f t="shared" si="54"/>
        <v>0.88717948717948714</v>
      </c>
      <c r="AI117" s="1215">
        <f t="shared" ref="AI117:AJ117" si="107">+AI118+AI121+AI125+AI132</f>
        <v>8610000000</v>
      </c>
      <c r="AJ117" s="1215">
        <f t="shared" si="107"/>
        <v>2337813971.6799998</v>
      </c>
      <c r="AK117" s="1265">
        <f t="shared" si="55"/>
        <v>0.27152310937049939</v>
      </c>
      <c r="AL117" s="1221"/>
      <c r="AM117" s="1221" t="s">
        <v>300</v>
      </c>
      <c r="AN117" s="1222"/>
      <c r="AO117" s="1215"/>
      <c r="AP117" s="1223"/>
      <c r="AQ117" s="1224"/>
    </row>
    <row r="118" spans="1:43" ht="26.25" thickBot="1" x14ac:dyDescent="0.3">
      <c r="A118" s="241" t="s">
        <v>472</v>
      </c>
      <c r="B118" s="140"/>
      <c r="C118" s="141"/>
      <c r="D118" s="187"/>
      <c r="E118" s="181"/>
      <c r="F118" s="141"/>
      <c r="G118" s="141"/>
      <c r="H118" s="142">
        <f>+(H119*100%)</f>
        <v>1</v>
      </c>
      <c r="I118" s="157">
        <f>+SUMPRODUCT(I119:I120,X119:X120)</f>
        <v>1</v>
      </c>
      <c r="J118" s="143"/>
      <c r="K118" s="143"/>
      <c r="L118" s="143"/>
      <c r="M118" s="144"/>
      <c r="N118" s="144"/>
      <c r="O118" s="143"/>
      <c r="P118" s="143"/>
      <c r="Q118" s="143"/>
      <c r="R118" s="158"/>
      <c r="S118" s="143"/>
      <c r="T118" s="1226"/>
      <c r="U118" s="201"/>
      <c r="V118" s="165">
        <f>+SUMPRODUCT(V119:V120,W119:W120)</f>
        <v>0.72727272727272729</v>
      </c>
      <c r="W118" s="142">
        <v>0.25</v>
      </c>
      <c r="X118" s="394">
        <v>0.25</v>
      </c>
      <c r="Y118" s="145">
        <f>SUM(Y119:Y120)</f>
        <v>475000000</v>
      </c>
      <c r="Z118" s="145">
        <f>SUM(Z119:Z120)</f>
        <v>94500000</v>
      </c>
      <c r="AA118" s="145">
        <f>SUM(AA119:AA120)</f>
        <v>467921845</v>
      </c>
      <c r="AB118" s="207">
        <f t="shared" si="52"/>
        <v>0.98509862105263157</v>
      </c>
      <c r="AC118" s="145">
        <f>SUM(AC119:AC120)</f>
        <v>452912348</v>
      </c>
      <c r="AD118" s="1225">
        <f t="shared" si="53"/>
        <v>0.95349967999999996</v>
      </c>
      <c r="AE118" s="145">
        <f>SUM(AE119:AE120)</f>
        <v>15009497</v>
      </c>
      <c r="AF118" s="145">
        <f>SUM(AF119:AF120)</f>
        <v>12000000</v>
      </c>
      <c r="AG118" s="145">
        <f>SUM(AG119:AG120)</f>
        <v>12000000</v>
      </c>
      <c r="AH118" s="505">
        <f t="shared" si="54"/>
        <v>1</v>
      </c>
      <c r="AI118" s="145">
        <f t="shared" ref="AI118:AJ118" si="108">SUM(AI119:AI120)</f>
        <v>2000000000</v>
      </c>
      <c r="AJ118" s="145">
        <f t="shared" si="108"/>
        <v>562421845</v>
      </c>
      <c r="AK118" s="1271">
        <f t="shared" si="55"/>
        <v>0.28121092250000002</v>
      </c>
      <c r="AL118" s="159"/>
      <c r="AM118" s="159"/>
      <c r="AN118" s="482"/>
      <c r="AO118" s="145"/>
      <c r="AP118" s="483"/>
      <c r="AQ118" s="101"/>
    </row>
    <row r="119" spans="1:43" ht="204" x14ac:dyDescent="0.25">
      <c r="A119" s="257" t="s">
        <v>592</v>
      </c>
      <c r="B119" s="1377" t="s">
        <v>783</v>
      </c>
      <c r="C119" s="1378">
        <v>1</v>
      </c>
      <c r="D119" s="1351">
        <v>1</v>
      </c>
      <c r="E119" s="1379">
        <v>1</v>
      </c>
      <c r="F119" s="169">
        <v>1</v>
      </c>
      <c r="G119" s="1232"/>
      <c r="H119" s="167">
        <f t="shared" ref="H119:H120" si="109">IF((E119+G119)/C119&gt;=100%,100%,(E119+G119)/C119)</f>
        <v>1</v>
      </c>
      <c r="I119" s="520">
        <f t="shared" ref="I119:I120" si="110">IF(F119/D119&gt;=100%,100%,F119/D119)</f>
        <v>1</v>
      </c>
      <c r="J119" s="1235" t="s">
        <v>974</v>
      </c>
      <c r="K119" s="1235"/>
      <c r="L119" s="1236"/>
      <c r="M119" s="1237"/>
      <c r="N119" s="1238"/>
      <c r="O119" s="1235"/>
      <c r="P119" s="1235"/>
      <c r="Q119" s="1235"/>
      <c r="R119" s="1239"/>
      <c r="S119" s="1235"/>
      <c r="T119" s="1380">
        <v>1</v>
      </c>
      <c r="U119" s="1241">
        <f t="shared" ref="U119:U122" si="111">SUM(E119:F119)</f>
        <v>2</v>
      </c>
      <c r="V119" s="170">
        <f>IF(U119/T119&gt;=100%,100%,U119/T119)</f>
        <v>1</v>
      </c>
      <c r="W119" s="1327">
        <v>0.5</v>
      </c>
      <c r="X119" s="1369">
        <v>0.5</v>
      </c>
      <c r="Y119" s="469">
        <v>250000000</v>
      </c>
      <c r="Z119" s="282">
        <v>94500000</v>
      </c>
      <c r="AA119" s="1242">
        <v>246583312</v>
      </c>
      <c r="AB119" s="208">
        <f t="shared" si="52"/>
        <v>0.986333248</v>
      </c>
      <c r="AC119" s="1347">
        <v>238819095</v>
      </c>
      <c r="AD119" s="1240">
        <f t="shared" si="53"/>
        <v>0.95527638000000004</v>
      </c>
      <c r="AE119" s="1247">
        <f>+AA119-AC119</f>
        <v>7764217</v>
      </c>
      <c r="AF119" s="1242">
        <v>12000000</v>
      </c>
      <c r="AG119" s="1242">
        <v>12000000</v>
      </c>
      <c r="AH119" s="506">
        <f t="shared" si="54"/>
        <v>1</v>
      </c>
      <c r="AI119" s="1255">
        <v>1000000000</v>
      </c>
      <c r="AJ119" s="1255">
        <f>+SUM(Z119:AA119)</f>
        <v>341083312</v>
      </c>
      <c r="AK119" s="1272">
        <f t="shared" si="55"/>
        <v>0.34108331200000003</v>
      </c>
      <c r="AL119" s="1248"/>
      <c r="AM119" s="1248"/>
      <c r="AN119" s="1249" t="s">
        <v>30</v>
      </c>
      <c r="AO119" s="489" t="s">
        <v>912</v>
      </c>
      <c r="AP119" s="1250"/>
      <c r="AQ119" s="1251"/>
    </row>
    <row r="120" spans="1:43" ht="204.75" thickBot="1" x14ac:dyDescent="0.3">
      <c r="A120" s="257" t="s">
        <v>593</v>
      </c>
      <c r="B120" s="1381" t="s">
        <v>784</v>
      </c>
      <c r="C120" s="1382">
        <v>0</v>
      </c>
      <c r="D120" s="1383">
        <v>10</v>
      </c>
      <c r="E120" s="1384">
        <v>0</v>
      </c>
      <c r="F120" s="1234">
        <v>10</v>
      </c>
      <c r="G120" s="1232"/>
      <c r="H120" s="167" t="e">
        <f t="shared" si="109"/>
        <v>#DIV/0!</v>
      </c>
      <c r="I120" s="520">
        <f t="shared" si="110"/>
        <v>1</v>
      </c>
      <c r="J120" s="1235" t="s">
        <v>975</v>
      </c>
      <c r="K120" s="1235"/>
      <c r="L120" s="1236"/>
      <c r="M120" s="1237"/>
      <c r="N120" s="1238"/>
      <c r="O120" s="1235"/>
      <c r="P120" s="1235"/>
      <c r="Q120" s="1235"/>
      <c r="R120" s="1239"/>
      <c r="S120" s="1235"/>
      <c r="T120" s="1385">
        <v>22</v>
      </c>
      <c r="U120" s="1241">
        <f t="shared" si="111"/>
        <v>10</v>
      </c>
      <c r="V120" s="170">
        <f>IF(U120/T120&gt;=100%,100%,U120/T120)</f>
        <v>0.45454545454545453</v>
      </c>
      <c r="W120" s="1327">
        <v>0.5</v>
      </c>
      <c r="X120" s="1369">
        <v>0.5</v>
      </c>
      <c r="Y120" s="469">
        <v>225000000</v>
      </c>
      <c r="Z120" s="282">
        <v>0</v>
      </c>
      <c r="AA120" s="1242">
        <v>221338533</v>
      </c>
      <c r="AB120" s="208">
        <f t="shared" si="52"/>
        <v>0.98372681333333334</v>
      </c>
      <c r="AC120" s="1347">
        <v>214093253</v>
      </c>
      <c r="AD120" s="1240">
        <f t="shared" si="53"/>
        <v>0.95152556888888884</v>
      </c>
      <c r="AE120" s="1247">
        <f>+AA120-AC120</f>
        <v>7245280</v>
      </c>
      <c r="AF120" s="1242"/>
      <c r="AG120" s="1242"/>
      <c r="AH120" s="506" t="e">
        <f t="shared" si="54"/>
        <v>#DIV/0!</v>
      </c>
      <c r="AI120" s="1255">
        <v>1000000000</v>
      </c>
      <c r="AJ120" s="1255">
        <f>+SUM(Z120:AA120)</f>
        <v>221338533</v>
      </c>
      <c r="AK120" s="1272">
        <f t="shared" si="55"/>
        <v>0.221338533</v>
      </c>
      <c r="AL120" s="1248"/>
      <c r="AM120" s="1248"/>
      <c r="AN120" s="1249" t="s">
        <v>30</v>
      </c>
      <c r="AO120" s="489" t="s">
        <v>912</v>
      </c>
      <c r="AP120" s="1250"/>
      <c r="AQ120" s="1251"/>
    </row>
    <row r="121" spans="1:43" ht="38.25" x14ac:dyDescent="0.25">
      <c r="A121" s="241" t="s">
        <v>473</v>
      </c>
      <c r="B121" s="140"/>
      <c r="C121" s="141"/>
      <c r="D121" s="187"/>
      <c r="E121" s="181"/>
      <c r="F121" s="141"/>
      <c r="G121" s="141"/>
      <c r="H121" s="142">
        <f>+SUMPRODUCT(H122:H124,W122:W124)</f>
        <v>1</v>
      </c>
      <c r="I121" s="157">
        <f>+SUMPRODUCT(I122:I124,X122:X124)</f>
        <v>1</v>
      </c>
      <c r="J121" s="164"/>
      <c r="K121" s="164"/>
      <c r="L121" s="143"/>
      <c r="M121" s="144"/>
      <c r="N121" s="144"/>
      <c r="O121" s="164"/>
      <c r="P121" s="164"/>
      <c r="Q121" s="164"/>
      <c r="R121" s="158"/>
      <c r="S121" s="164"/>
      <c r="T121" s="191"/>
      <c r="U121" s="201">
        <f t="shared" si="111"/>
        <v>0</v>
      </c>
      <c r="V121" s="165">
        <f>+SUMPRODUCT(V122:V124,W122:W124)</f>
        <v>0.28499999999999998</v>
      </c>
      <c r="W121" s="142">
        <v>0.25</v>
      </c>
      <c r="X121" s="394">
        <v>0.25</v>
      </c>
      <c r="Y121" s="145">
        <f>SUM(Y122:Y124)</f>
        <v>530000000</v>
      </c>
      <c r="Z121" s="145">
        <f>SUM(Z122:Z124)</f>
        <v>680000000</v>
      </c>
      <c r="AA121" s="145">
        <f>SUM(AA122:AA124)</f>
        <v>523011320</v>
      </c>
      <c r="AB121" s="207">
        <f t="shared" si="52"/>
        <v>0.98681381132075474</v>
      </c>
      <c r="AC121" s="145">
        <f>SUM(AC122:AC124)</f>
        <v>479175420</v>
      </c>
      <c r="AD121" s="1386">
        <f t="shared" si="53"/>
        <v>0.90410456603773581</v>
      </c>
      <c r="AE121" s="145">
        <f>SUM(AE122:AE124)</f>
        <v>43835900</v>
      </c>
      <c r="AF121" s="145">
        <f>SUM(AF122:AF124)</f>
        <v>680000000</v>
      </c>
      <c r="AG121" s="145">
        <f>SUM(AG122:AG124)</f>
        <v>680000000</v>
      </c>
      <c r="AH121" s="505">
        <f t="shared" si="54"/>
        <v>1</v>
      </c>
      <c r="AI121" s="145">
        <f t="shared" ref="AI121:AJ121" si="112">SUM(AI122:AI124)</f>
        <v>3920000000</v>
      </c>
      <c r="AJ121" s="145">
        <f t="shared" si="112"/>
        <v>1203011320</v>
      </c>
      <c r="AK121" s="1321">
        <f t="shared" si="55"/>
        <v>0.30689064285714285</v>
      </c>
      <c r="AL121" s="166"/>
      <c r="AM121" s="159"/>
      <c r="AN121" s="482"/>
      <c r="AO121" s="145"/>
      <c r="AP121" s="483"/>
      <c r="AQ121" s="101"/>
    </row>
    <row r="122" spans="1:43" ht="153" x14ac:dyDescent="0.25">
      <c r="A122" s="258" t="s">
        <v>594</v>
      </c>
      <c r="B122" s="346" t="s">
        <v>785</v>
      </c>
      <c r="C122" s="375">
        <v>2</v>
      </c>
      <c r="D122" s="309">
        <v>7</v>
      </c>
      <c r="E122" s="1234">
        <v>0</v>
      </c>
      <c r="F122" s="1232">
        <v>7</v>
      </c>
      <c r="G122" s="1232">
        <v>2</v>
      </c>
      <c r="H122" s="167">
        <f t="shared" ref="H122:H124" si="113">IF((E122+G122)/C122&gt;=100%,100%,(E122+G122)/C122)</f>
        <v>1</v>
      </c>
      <c r="I122" s="520">
        <f t="shared" ref="I122:I124" si="114">IF(F122/D122&gt;=100%,100%,F122/D122)</f>
        <v>1</v>
      </c>
      <c r="J122" s="1325" t="s">
        <v>976</v>
      </c>
      <c r="K122" s="1325"/>
      <c r="L122" s="1236"/>
      <c r="M122" s="1237"/>
      <c r="N122" s="1238"/>
      <c r="O122" s="1325"/>
      <c r="P122" s="1325"/>
      <c r="Q122" s="1325"/>
      <c r="R122" s="1239"/>
      <c r="S122" s="1325"/>
      <c r="T122" s="1326">
        <v>20</v>
      </c>
      <c r="U122" s="1241">
        <f t="shared" si="111"/>
        <v>7</v>
      </c>
      <c r="V122" s="170">
        <f>IF(U122/T122&gt;=100%,100%,U122/T122)</f>
        <v>0.35</v>
      </c>
      <c r="W122" s="1327">
        <v>0.35</v>
      </c>
      <c r="X122" s="1369">
        <v>0.35</v>
      </c>
      <c r="Y122" s="1387">
        <f>350000000/2</f>
        <v>175000000</v>
      </c>
      <c r="Z122" s="514">
        <v>480000000</v>
      </c>
      <c r="AA122" s="1388">
        <f>345340879/2</f>
        <v>172670439.5</v>
      </c>
      <c r="AB122" s="208">
        <f t="shared" si="52"/>
        <v>0.98668822571428572</v>
      </c>
      <c r="AC122" s="206">
        <f>306116947/2</f>
        <v>153058473.5</v>
      </c>
      <c r="AD122" s="1389">
        <f t="shared" si="53"/>
        <v>0.8746198485714286</v>
      </c>
      <c r="AE122" s="1247">
        <f>+AA122-AC122</f>
        <v>19611966</v>
      </c>
      <c r="AF122" s="1388">
        <f>480000000/2</f>
        <v>240000000</v>
      </c>
      <c r="AG122" s="1388">
        <f>480000000/2</f>
        <v>240000000</v>
      </c>
      <c r="AH122" s="506">
        <f t="shared" si="54"/>
        <v>1</v>
      </c>
      <c r="AI122" s="1255">
        <v>2800000000</v>
      </c>
      <c r="AJ122" s="1255">
        <f>+SUM(Z122:AA122)</f>
        <v>652670439.5</v>
      </c>
      <c r="AK122" s="1332">
        <f t="shared" si="55"/>
        <v>0.23309658553571427</v>
      </c>
      <c r="AL122" s="1330"/>
      <c r="AM122" s="1248"/>
      <c r="AN122" s="1249" t="s">
        <v>30</v>
      </c>
      <c r="AO122" s="1882" t="s">
        <v>913</v>
      </c>
      <c r="AP122" s="1250"/>
      <c r="AQ122" s="1251"/>
    </row>
    <row r="123" spans="1:43" ht="216.75" x14ac:dyDescent="0.25">
      <c r="A123" s="256" t="s">
        <v>595</v>
      </c>
      <c r="B123" s="346" t="s">
        <v>786</v>
      </c>
      <c r="C123" s="375">
        <v>1</v>
      </c>
      <c r="D123" s="309">
        <v>1</v>
      </c>
      <c r="E123" s="1234">
        <v>0</v>
      </c>
      <c r="F123" s="1232">
        <v>1</v>
      </c>
      <c r="G123" s="1232">
        <v>1</v>
      </c>
      <c r="H123" s="167">
        <f t="shared" si="113"/>
        <v>1</v>
      </c>
      <c r="I123" s="520">
        <f t="shared" si="114"/>
        <v>1</v>
      </c>
      <c r="J123" s="1325" t="s">
        <v>977</v>
      </c>
      <c r="K123" s="1325"/>
      <c r="L123" s="1236"/>
      <c r="M123" s="1237"/>
      <c r="N123" s="1238"/>
      <c r="O123" s="1325"/>
      <c r="P123" s="1325"/>
      <c r="Q123" s="1325"/>
      <c r="R123" s="1239"/>
      <c r="S123" s="1325"/>
      <c r="T123" s="1326">
        <v>4</v>
      </c>
      <c r="U123" s="1241">
        <f t="shared" ref="U123:U124" si="115">SUM(E123:F123)</f>
        <v>1</v>
      </c>
      <c r="V123" s="170">
        <f t="shared" ref="V123:V124" si="116">IF(U123/T123&gt;=100%,100%,U123/T123)</f>
        <v>0.25</v>
      </c>
      <c r="W123" s="1327">
        <v>0.35</v>
      </c>
      <c r="X123" s="1369">
        <v>0.35</v>
      </c>
      <c r="Y123" s="1387">
        <f>350000000/2</f>
        <v>175000000</v>
      </c>
      <c r="Z123" s="515">
        <v>0</v>
      </c>
      <c r="AA123" s="1388">
        <f>345340879/2</f>
        <v>172670439.5</v>
      </c>
      <c r="AB123" s="208">
        <f t="shared" si="52"/>
        <v>0.98668822571428572</v>
      </c>
      <c r="AC123" s="206">
        <f>306116947/2</f>
        <v>153058473.5</v>
      </c>
      <c r="AD123" s="1389">
        <f t="shared" si="53"/>
        <v>0.8746198485714286</v>
      </c>
      <c r="AE123" s="1247">
        <f>+AA123-AC123</f>
        <v>19611966</v>
      </c>
      <c r="AF123" s="1388">
        <f>480000000/2</f>
        <v>240000000</v>
      </c>
      <c r="AG123" s="1388">
        <f>480000000/2</f>
        <v>240000000</v>
      </c>
      <c r="AH123" s="506">
        <f t="shared" si="54"/>
        <v>1</v>
      </c>
      <c r="AI123" s="1255">
        <v>320000000</v>
      </c>
      <c r="AJ123" s="1255">
        <f t="shared" ref="AJ123:AJ133" si="117">+SUM(Z123:AA123)</f>
        <v>172670439.5</v>
      </c>
      <c r="AK123" s="1390">
        <f t="shared" si="55"/>
        <v>0.53959512343750005</v>
      </c>
      <c r="AL123" s="1330"/>
      <c r="AM123" s="1248"/>
      <c r="AN123" s="1249" t="s">
        <v>30</v>
      </c>
      <c r="AO123" s="1870"/>
      <c r="AP123" s="1250"/>
      <c r="AQ123" s="1251"/>
    </row>
    <row r="124" spans="1:43" ht="165.75" x14ac:dyDescent="0.25">
      <c r="A124" s="255" t="s">
        <v>596</v>
      </c>
      <c r="B124" s="1391" t="s">
        <v>787</v>
      </c>
      <c r="C124" s="375">
        <v>1</v>
      </c>
      <c r="D124" s="309">
        <v>1</v>
      </c>
      <c r="E124" s="1234">
        <v>0</v>
      </c>
      <c r="F124" s="1232">
        <v>1</v>
      </c>
      <c r="G124" s="1232">
        <v>1</v>
      </c>
      <c r="H124" s="167">
        <f t="shared" si="113"/>
        <v>1</v>
      </c>
      <c r="I124" s="520">
        <f t="shared" si="114"/>
        <v>1</v>
      </c>
      <c r="J124" s="1325" t="s">
        <v>978</v>
      </c>
      <c r="K124" s="1325"/>
      <c r="L124" s="1236"/>
      <c r="M124" s="1237"/>
      <c r="N124" s="1238"/>
      <c r="O124" s="1325"/>
      <c r="P124" s="1325"/>
      <c r="Q124" s="1325"/>
      <c r="R124" s="1239"/>
      <c r="S124" s="1325"/>
      <c r="T124" s="1326">
        <v>4</v>
      </c>
      <c r="U124" s="1241">
        <f t="shared" si="115"/>
        <v>1</v>
      </c>
      <c r="V124" s="170">
        <f t="shared" si="116"/>
        <v>0.25</v>
      </c>
      <c r="W124" s="1327">
        <v>0.3</v>
      </c>
      <c r="X124" s="1369">
        <v>0.3</v>
      </c>
      <c r="Y124" s="1392">
        <v>180000000</v>
      </c>
      <c r="Z124" s="1393">
        <v>200000000</v>
      </c>
      <c r="AA124" s="1388">
        <v>177670441</v>
      </c>
      <c r="AB124" s="208">
        <f t="shared" si="52"/>
        <v>0.98705800555555556</v>
      </c>
      <c r="AC124" s="206">
        <v>173058473</v>
      </c>
      <c r="AD124" s="1389">
        <f t="shared" si="53"/>
        <v>0.96143596111111107</v>
      </c>
      <c r="AE124" s="1247">
        <f>+AA124-AC124</f>
        <v>4611968</v>
      </c>
      <c r="AF124" s="1388">
        <v>200000000</v>
      </c>
      <c r="AG124" s="1388">
        <v>200000000</v>
      </c>
      <c r="AH124" s="506">
        <f t="shared" si="54"/>
        <v>1</v>
      </c>
      <c r="AI124" s="1255">
        <v>800000000</v>
      </c>
      <c r="AJ124" s="1255">
        <f t="shared" si="117"/>
        <v>377670441</v>
      </c>
      <c r="AK124" s="1332">
        <f t="shared" si="55"/>
        <v>0.47208805124999997</v>
      </c>
      <c r="AL124" s="1330"/>
      <c r="AM124" s="1248"/>
      <c r="AN124" s="1249" t="s">
        <v>30</v>
      </c>
      <c r="AO124" s="488" t="s">
        <v>895</v>
      </c>
      <c r="AP124" s="1250"/>
      <c r="AQ124" s="1251"/>
    </row>
    <row r="125" spans="1:43" ht="38.25" x14ac:dyDescent="0.25">
      <c r="A125" s="241" t="s">
        <v>474</v>
      </c>
      <c r="B125" s="140"/>
      <c r="C125" s="141"/>
      <c r="D125" s="187"/>
      <c r="E125" s="181"/>
      <c r="F125" s="141"/>
      <c r="G125" s="141"/>
      <c r="H125" s="142">
        <f>+(H126*25%)+(H127*25%)+(H129*50%)</f>
        <v>1</v>
      </c>
      <c r="I125" s="157">
        <f>+SUMPRODUCT(I126:I131,X126:X131)</f>
        <v>1</v>
      </c>
      <c r="J125" s="164"/>
      <c r="K125" s="164"/>
      <c r="L125" s="143"/>
      <c r="M125" s="144"/>
      <c r="N125" s="144"/>
      <c r="O125" s="164"/>
      <c r="P125" s="164"/>
      <c r="Q125" s="164"/>
      <c r="R125" s="158"/>
      <c r="S125" s="164"/>
      <c r="T125" s="191"/>
      <c r="U125" s="201">
        <f>SUM(E125:F125)</f>
        <v>0</v>
      </c>
      <c r="V125" s="165">
        <f>+SUMPRODUCT(V126:V131,W126:W131)</f>
        <v>0.47499999999999998</v>
      </c>
      <c r="W125" s="142">
        <v>0.25</v>
      </c>
      <c r="X125" s="394">
        <v>0.25</v>
      </c>
      <c r="Y125" s="145">
        <f>SUM(Y126:Y131)</f>
        <v>380000000</v>
      </c>
      <c r="Z125" s="145">
        <f>SUM(Z126:Z131)</f>
        <v>100000000</v>
      </c>
      <c r="AA125" s="145">
        <f>SUM(AA126:AA131)</f>
        <v>373611664.68000001</v>
      </c>
      <c r="AB125" s="207">
        <f t="shared" si="52"/>
        <v>0.98318859126315794</v>
      </c>
      <c r="AC125" s="145">
        <f>SUM(AC126:AC131)</f>
        <v>272088917</v>
      </c>
      <c r="AD125" s="1386">
        <f t="shared" si="53"/>
        <v>0.71602346578947373</v>
      </c>
      <c r="AE125" s="145">
        <f>SUM(AE126:AE131)</f>
        <v>101522747.67999999</v>
      </c>
      <c r="AF125" s="145">
        <f>SUM(AF126:AF131)</f>
        <v>88000000</v>
      </c>
      <c r="AG125" s="145">
        <f>SUM(AG126:AG131)</f>
        <v>0</v>
      </c>
      <c r="AH125" s="505">
        <f t="shared" si="54"/>
        <v>0</v>
      </c>
      <c r="AI125" s="145">
        <f t="shared" ref="AI125:AJ125" si="118">SUM(AI126:AI131)</f>
        <v>2290000000</v>
      </c>
      <c r="AJ125" s="145">
        <f t="shared" si="118"/>
        <v>473611664.68000001</v>
      </c>
      <c r="AK125" s="1321">
        <f t="shared" si="55"/>
        <v>0.20681732082096072</v>
      </c>
      <c r="AL125" s="166"/>
      <c r="AM125" s="159"/>
      <c r="AN125" s="482"/>
      <c r="AO125" s="145"/>
      <c r="AP125" s="483"/>
      <c r="AQ125" s="101"/>
    </row>
    <row r="126" spans="1:43" ht="140.25" x14ac:dyDescent="0.25">
      <c r="A126" s="259" t="s">
        <v>597</v>
      </c>
      <c r="B126" s="346" t="s">
        <v>788</v>
      </c>
      <c r="C126" s="376">
        <v>1</v>
      </c>
      <c r="D126" s="310">
        <v>1</v>
      </c>
      <c r="E126" s="1234">
        <v>1</v>
      </c>
      <c r="F126" s="1232">
        <v>1</v>
      </c>
      <c r="G126" s="1232"/>
      <c r="H126" s="167">
        <f t="shared" ref="H126:H131" si="119">IF((E126+G126)/C126&gt;=100%,100%,(E126+G126)/C126)</f>
        <v>1</v>
      </c>
      <c r="I126" s="520">
        <f t="shared" ref="I126:I131" si="120">IF(F126/D126&gt;=100%,100%,F126/D126)</f>
        <v>1</v>
      </c>
      <c r="J126" s="1325" t="s">
        <v>979</v>
      </c>
      <c r="K126" s="1325"/>
      <c r="L126" s="1236"/>
      <c r="M126" s="1237"/>
      <c r="N126" s="1238"/>
      <c r="O126" s="1325"/>
      <c r="P126" s="1325"/>
      <c r="Q126" s="1325"/>
      <c r="R126" s="1239"/>
      <c r="S126" s="1325"/>
      <c r="T126" s="1326">
        <v>4</v>
      </c>
      <c r="U126" s="1241">
        <f t="shared" ref="U126:U131" si="121">SUM(E126:F126)</f>
        <v>2</v>
      </c>
      <c r="V126" s="170">
        <f t="shared" ref="V126:V131" si="122">IF(U126/T126&gt;=100%,100%,U126/T126)</f>
        <v>0.5</v>
      </c>
      <c r="W126" s="412">
        <v>0.1</v>
      </c>
      <c r="X126" s="433">
        <v>0.1</v>
      </c>
      <c r="Y126" s="470">
        <f>110000000/2</f>
        <v>55000000</v>
      </c>
      <c r="Z126" s="513">
        <v>50000000</v>
      </c>
      <c r="AA126" s="1388">
        <f>108446960/2</f>
        <v>54223480</v>
      </c>
      <c r="AB126" s="208">
        <f t="shared" si="52"/>
        <v>0.98588145454545451</v>
      </c>
      <c r="AC126" s="206">
        <f>100666859/2</f>
        <v>50333429.5</v>
      </c>
      <c r="AD126" s="1389">
        <f t="shared" si="53"/>
        <v>0.91515326363636362</v>
      </c>
      <c r="AE126" s="1247">
        <f t="shared" ref="AE126:AE131" si="123">+AA126-AC126</f>
        <v>3890050.5</v>
      </c>
      <c r="AF126" s="1388">
        <f>88000000/2</f>
        <v>44000000</v>
      </c>
      <c r="AG126" s="1388">
        <v>0</v>
      </c>
      <c r="AH126" s="506">
        <f t="shared" si="54"/>
        <v>0</v>
      </c>
      <c r="AI126" s="1255">
        <v>200000000</v>
      </c>
      <c r="AJ126" s="1255">
        <f t="shared" si="117"/>
        <v>104223480</v>
      </c>
      <c r="AK126" s="1390">
        <f t="shared" si="55"/>
        <v>0.52111739999999995</v>
      </c>
      <c r="AL126" s="1330"/>
      <c r="AM126" s="1248"/>
      <c r="AN126" s="1249" t="s">
        <v>30</v>
      </c>
      <c r="AO126" s="1884" t="s">
        <v>895</v>
      </c>
      <c r="AP126" s="1250"/>
      <c r="AQ126" s="1251"/>
    </row>
    <row r="127" spans="1:43" ht="229.5" x14ac:dyDescent="0.25">
      <c r="A127" s="260" t="s">
        <v>598</v>
      </c>
      <c r="B127" s="346" t="s">
        <v>789</v>
      </c>
      <c r="C127" s="376">
        <v>1</v>
      </c>
      <c r="D127" s="310">
        <v>1</v>
      </c>
      <c r="E127" s="1234">
        <v>1</v>
      </c>
      <c r="F127" s="1232">
        <v>1</v>
      </c>
      <c r="G127" s="1232"/>
      <c r="H127" s="167">
        <f t="shared" si="119"/>
        <v>1</v>
      </c>
      <c r="I127" s="520">
        <f t="shared" si="120"/>
        <v>1</v>
      </c>
      <c r="J127" s="1325" t="s">
        <v>980</v>
      </c>
      <c r="K127" s="1325"/>
      <c r="L127" s="1236"/>
      <c r="M127" s="1237"/>
      <c r="N127" s="1238"/>
      <c r="O127" s="1325"/>
      <c r="P127" s="1325"/>
      <c r="Q127" s="1325"/>
      <c r="R127" s="1239"/>
      <c r="S127" s="1325"/>
      <c r="T127" s="1326">
        <v>4</v>
      </c>
      <c r="U127" s="1241">
        <f t="shared" si="121"/>
        <v>2</v>
      </c>
      <c r="V127" s="170">
        <f t="shared" si="122"/>
        <v>0.5</v>
      </c>
      <c r="W127" s="412">
        <v>0.1</v>
      </c>
      <c r="X127" s="433">
        <v>0.1</v>
      </c>
      <c r="Y127" s="470">
        <f>110000000/2</f>
        <v>55000000</v>
      </c>
      <c r="Z127" s="513">
        <v>50000000</v>
      </c>
      <c r="AA127" s="1388">
        <f>108446960/2</f>
        <v>54223480</v>
      </c>
      <c r="AB127" s="208">
        <f t="shared" si="52"/>
        <v>0.98588145454545451</v>
      </c>
      <c r="AC127" s="206">
        <f>100666859/2</f>
        <v>50333429.5</v>
      </c>
      <c r="AD127" s="1389">
        <f t="shared" si="53"/>
        <v>0.91515326363636362</v>
      </c>
      <c r="AE127" s="1247">
        <f t="shared" si="123"/>
        <v>3890050.5</v>
      </c>
      <c r="AF127" s="1388">
        <f>88000000/2</f>
        <v>44000000</v>
      </c>
      <c r="AG127" s="1388">
        <v>0</v>
      </c>
      <c r="AH127" s="506">
        <f t="shared" si="54"/>
        <v>0</v>
      </c>
      <c r="AI127" s="1255">
        <v>200000000</v>
      </c>
      <c r="AJ127" s="1255">
        <f t="shared" si="117"/>
        <v>104223480</v>
      </c>
      <c r="AK127" s="1390">
        <f t="shared" si="55"/>
        <v>0.52111739999999995</v>
      </c>
      <c r="AL127" s="1330"/>
      <c r="AM127" s="1248"/>
      <c r="AN127" s="1249" t="s">
        <v>30</v>
      </c>
      <c r="AO127" s="1870"/>
      <c r="AP127" s="1250"/>
      <c r="AQ127" s="1251"/>
    </row>
    <row r="128" spans="1:43" ht="267.75" x14ac:dyDescent="0.25">
      <c r="A128" s="257" t="s">
        <v>599</v>
      </c>
      <c r="B128" s="346" t="s">
        <v>790</v>
      </c>
      <c r="C128" s="376">
        <v>0</v>
      </c>
      <c r="D128" s="310">
        <v>2</v>
      </c>
      <c r="E128" s="1234">
        <v>0</v>
      </c>
      <c r="F128" s="1232">
        <v>2</v>
      </c>
      <c r="G128" s="1232"/>
      <c r="H128" s="167" t="e">
        <f t="shared" si="119"/>
        <v>#DIV/0!</v>
      </c>
      <c r="I128" s="520">
        <f t="shared" si="120"/>
        <v>1</v>
      </c>
      <c r="J128" s="1325" t="s">
        <v>981</v>
      </c>
      <c r="K128" s="1325"/>
      <c r="L128" s="1236"/>
      <c r="M128" s="1237"/>
      <c r="N128" s="1238"/>
      <c r="O128" s="1325"/>
      <c r="P128" s="1325"/>
      <c r="Q128" s="1325"/>
      <c r="R128" s="1239"/>
      <c r="S128" s="1325"/>
      <c r="T128" s="1326">
        <v>4</v>
      </c>
      <c r="U128" s="1241">
        <f t="shared" si="121"/>
        <v>2</v>
      </c>
      <c r="V128" s="170">
        <f t="shared" si="122"/>
        <v>0.5</v>
      </c>
      <c r="W128" s="413">
        <v>0.2</v>
      </c>
      <c r="X128" s="434">
        <v>0.2</v>
      </c>
      <c r="Y128" s="470">
        <v>40000000</v>
      </c>
      <c r="Z128" s="430">
        <v>0</v>
      </c>
      <c r="AA128" s="1388">
        <v>39151208.200000003</v>
      </c>
      <c r="AB128" s="208">
        <f t="shared" si="52"/>
        <v>0.97878020500000007</v>
      </c>
      <c r="AC128" s="206">
        <v>16285692</v>
      </c>
      <c r="AD128" s="1331">
        <f t="shared" si="53"/>
        <v>0.40714230000000001</v>
      </c>
      <c r="AE128" s="1247">
        <f t="shared" si="123"/>
        <v>22865516.200000003</v>
      </c>
      <c r="AF128" s="1388"/>
      <c r="AG128" s="1388"/>
      <c r="AH128" s="506" t="e">
        <f t="shared" si="54"/>
        <v>#DIV/0!</v>
      </c>
      <c r="AI128" s="1255">
        <v>160000000</v>
      </c>
      <c r="AJ128" s="1255">
        <f t="shared" si="117"/>
        <v>39151208.200000003</v>
      </c>
      <c r="AK128" s="1332">
        <f t="shared" si="55"/>
        <v>0.24469505125000002</v>
      </c>
      <c r="AL128" s="1330"/>
      <c r="AM128" s="1248"/>
      <c r="AN128" s="1249" t="s">
        <v>30</v>
      </c>
      <c r="AO128" s="490" t="s">
        <v>914</v>
      </c>
      <c r="AP128" s="1250"/>
      <c r="AQ128" s="1251"/>
    </row>
    <row r="129" spans="1:43" ht="229.5" x14ac:dyDescent="0.25">
      <c r="A129" s="257" t="s">
        <v>600</v>
      </c>
      <c r="B129" s="346" t="s">
        <v>791</v>
      </c>
      <c r="C129" s="376">
        <v>1</v>
      </c>
      <c r="D129" s="310">
        <v>1</v>
      </c>
      <c r="E129" s="1234">
        <v>1</v>
      </c>
      <c r="F129" s="1232">
        <v>1</v>
      </c>
      <c r="G129" s="1232"/>
      <c r="H129" s="167">
        <f t="shared" si="119"/>
        <v>1</v>
      </c>
      <c r="I129" s="520">
        <f t="shared" si="120"/>
        <v>1</v>
      </c>
      <c r="J129" s="1325" t="s">
        <v>982</v>
      </c>
      <c r="K129" s="1325"/>
      <c r="L129" s="1236"/>
      <c r="M129" s="1237"/>
      <c r="N129" s="1238"/>
      <c r="O129" s="1325"/>
      <c r="P129" s="1325"/>
      <c r="Q129" s="1325"/>
      <c r="R129" s="1239"/>
      <c r="S129" s="1325"/>
      <c r="T129" s="1326">
        <v>4</v>
      </c>
      <c r="U129" s="1241">
        <f t="shared" si="121"/>
        <v>2</v>
      </c>
      <c r="V129" s="170">
        <f t="shared" si="122"/>
        <v>0.5</v>
      </c>
      <c r="W129" s="413">
        <v>0.3</v>
      </c>
      <c r="X129" s="434">
        <v>0.3</v>
      </c>
      <c r="Y129" s="470">
        <v>50000000</v>
      </c>
      <c r="Z129" s="430">
        <v>0</v>
      </c>
      <c r="AA129" s="1388">
        <v>49171138</v>
      </c>
      <c r="AB129" s="208">
        <f t="shared" si="52"/>
        <v>0.98342275999999995</v>
      </c>
      <c r="AC129" s="206">
        <v>31442882</v>
      </c>
      <c r="AD129" s="1389">
        <f t="shared" si="53"/>
        <v>0.62885764</v>
      </c>
      <c r="AE129" s="1247">
        <f t="shared" si="123"/>
        <v>17728256</v>
      </c>
      <c r="AF129" s="1388"/>
      <c r="AG129" s="1388"/>
      <c r="AH129" s="506" t="e">
        <f t="shared" si="54"/>
        <v>#DIV/0!</v>
      </c>
      <c r="AI129" s="1255">
        <v>800000000</v>
      </c>
      <c r="AJ129" s="1255">
        <f t="shared" si="117"/>
        <v>49171138</v>
      </c>
      <c r="AK129" s="1332">
        <f t="shared" si="55"/>
        <v>6.1463922499999997E-2</v>
      </c>
      <c r="AL129" s="1330"/>
      <c r="AM129" s="1248"/>
      <c r="AN129" s="1249" t="s">
        <v>30</v>
      </c>
      <c r="AO129" s="489" t="s">
        <v>895</v>
      </c>
      <c r="AP129" s="1250"/>
      <c r="AQ129" s="1251"/>
    </row>
    <row r="130" spans="1:43" ht="204" x14ac:dyDescent="0.25">
      <c r="A130" s="260" t="s">
        <v>601</v>
      </c>
      <c r="B130" s="346" t="s">
        <v>792</v>
      </c>
      <c r="C130" s="376">
        <v>0</v>
      </c>
      <c r="D130" s="310">
        <v>1</v>
      </c>
      <c r="E130" s="1234">
        <v>0</v>
      </c>
      <c r="F130" s="1232">
        <v>1</v>
      </c>
      <c r="G130" s="1232"/>
      <c r="H130" s="167" t="e">
        <f t="shared" si="119"/>
        <v>#DIV/0!</v>
      </c>
      <c r="I130" s="520">
        <f t="shared" si="120"/>
        <v>1</v>
      </c>
      <c r="J130" s="1325" t="s">
        <v>983</v>
      </c>
      <c r="K130" s="1325"/>
      <c r="L130" s="1236"/>
      <c r="M130" s="1237"/>
      <c r="N130" s="1238"/>
      <c r="O130" s="1325"/>
      <c r="P130" s="1325"/>
      <c r="Q130" s="1325"/>
      <c r="R130" s="1239"/>
      <c r="S130" s="1325"/>
      <c r="T130" s="1326">
        <v>2</v>
      </c>
      <c r="U130" s="1241">
        <f t="shared" si="121"/>
        <v>1</v>
      </c>
      <c r="V130" s="170">
        <f t="shared" si="122"/>
        <v>0.5</v>
      </c>
      <c r="W130" s="412">
        <v>0.15</v>
      </c>
      <c r="X130" s="433">
        <v>0.15</v>
      </c>
      <c r="Y130" s="470">
        <f>180000000/2</f>
        <v>90000000</v>
      </c>
      <c r="Z130" s="430">
        <v>0</v>
      </c>
      <c r="AA130" s="1388">
        <f>176842358.48/2</f>
        <v>88421179.239999995</v>
      </c>
      <c r="AB130" s="208">
        <f t="shared" si="52"/>
        <v>0.98245754711111111</v>
      </c>
      <c r="AC130" s="206">
        <f>123693484/2</f>
        <v>61846742</v>
      </c>
      <c r="AD130" s="1389">
        <f t="shared" si="53"/>
        <v>0.68718602222222225</v>
      </c>
      <c r="AE130" s="1247">
        <f t="shared" si="123"/>
        <v>26574437.239999995</v>
      </c>
      <c r="AF130" s="1388"/>
      <c r="AG130" s="1388"/>
      <c r="AH130" s="506" t="e">
        <f t="shared" si="54"/>
        <v>#DIV/0!</v>
      </c>
      <c r="AI130" s="1255">
        <v>840000000</v>
      </c>
      <c r="AJ130" s="1255">
        <f t="shared" si="117"/>
        <v>88421179.239999995</v>
      </c>
      <c r="AK130" s="1332">
        <f t="shared" si="55"/>
        <v>0.10526330861904762</v>
      </c>
      <c r="AL130" s="1330"/>
      <c r="AM130" s="1248"/>
      <c r="AN130" s="1249" t="s">
        <v>30</v>
      </c>
      <c r="AO130" s="1884" t="s">
        <v>915</v>
      </c>
      <c r="AP130" s="1250"/>
      <c r="AQ130" s="1251"/>
    </row>
    <row r="131" spans="1:43" ht="153" x14ac:dyDescent="0.25">
      <c r="A131" s="260" t="s">
        <v>602</v>
      </c>
      <c r="B131" s="1391" t="s">
        <v>793</v>
      </c>
      <c r="C131" s="376">
        <v>0</v>
      </c>
      <c r="D131" s="310">
        <v>1</v>
      </c>
      <c r="E131" s="1234">
        <v>0</v>
      </c>
      <c r="F131" s="1232">
        <v>1</v>
      </c>
      <c r="G131" s="1232"/>
      <c r="H131" s="167" t="e">
        <f t="shared" si="119"/>
        <v>#DIV/0!</v>
      </c>
      <c r="I131" s="520">
        <f t="shared" si="120"/>
        <v>1</v>
      </c>
      <c r="J131" s="1325" t="s">
        <v>984</v>
      </c>
      <c r="K131" s="1325"/>
      <c r="L131" s="1236"/>
      <c r="M131" s="1237"/>
      <c r="N131" s="1238"/>
      <c r="O131" s="1325"/>
      <c r="P131" s="1325"/>
      <c r="Q131" s="1325"/>
      <c r="R131" s="1239"/>
      <c r="S131" s="1325"/>
      <c r="T131" s="1326">
        <v>3</v>
      </c>
      <c r="U131" s="1241">
        <f t="shared" si="121"/>
        <v>1</v>
      </c>
      <c r="V131" s="170">
        <f t="shared" si="122"/>
        <v>0.33333333333333331</v>
      </c>
      <c r="W131" s="412">
        <v>0.15</v>
      </c>
      <c r="X131" s="433">
        <v>0.15</v>
      </c>
      <c r="Y131" s="470">
        <f>180000000/2</f>
        <v>90000000</v>
      </c>
      <c r="Z131" s="430">
        <v>0</v>
      </c>
      <c r="AA131" s="1388">
        <f>176842358.48/2</f>
        <v>88421179.239999995</v>
      </c>
      <c r="AB131" s="208">
        <f t="shared" si="52"/>
        <v>0.98245754711111111</v>
      </c>
      <c r="AC131" s="206">
        <f>123693484/2</f>
        <v>61846742</v>
      </c>
      <c r="AD131" s="1389">
        <f t="shared" si="53"/>
        <v>0.68718602222222225</v>
      </c>
      <c r="AE131" s="1247">
        <f t="shared" si="123"/>
        <v>26574437.239999995</v>
      </c>
      <c r="AF131" s="1388"/>
      <c r="AG131" s="1388"/>
      <c r="AH131" s="506" t="e">
        <f t="shared" si="54"/>
        <v>#DIV/0!</v>
      </c>
      <c r="AI131" s="1255">
        <v>90000000</v>
      </c>
      <c r="AJ131" s="1255">
        <f t="shared" si="117"/>
        <v>88421179.239999995</v>
      </c>
      <c r="AK131" s="1390">
        <f t="shared" si="55"/>
        <v>0.98245754711111111</v>
      </c>
      <c r="AL131" s="1330"/>
      <c r="AM131" s="1248"/>
      <c r="AN131" s="1249" t="s">
        <v>30</v>
      </c>
      <c r="AO131" s="1870"/>
      <c r="AP131" s="1250"/>
      <c r="AQ131" s="1251"/>
    </row>
    <row r="132" spans="1:43" ht="38.25" x14ac:dyDescent="0.25">
      <c r="A132" s="241" t="s">
        <v>475</v>
      </c>
      <c r="B132" s="140"/>
      <c r="C132" s="141"/>
      <c r="D132" s="187"/>
      <c r="E132" s="181"/>
      <c r="F132" s="141"/>
      <c r="G132" s="141"/>
      <c r="H132" s="142">
        <f>+SUMPRODUCT(H133:H133,W133:W133)</f>
        <v>1</v>
      </c>
      <c r="I132" s="157">
        <f>+SUMPRODUCT(I133:I133,X133:X133)</f>
        <v>1</v>
      </c>
      <c r="J132" s="164"/>
      <c r="K132" s="164"/>
      <c r="L132" s="143"/>
      <c r="M132" s="144"/>
      <c r="N132" s="144"/>
      <c r="O132" s="164"/>
      <c r="P132" s="164"/>
      <c r="Q132" s="164"/>
      <c r="R132" s="158"/>
      <c r="S132" s="164"/>
      <c r="T132" s="191"/>
      <c r="U132" s="201">
        <f>SUM(E132:F132)</f>
        <v>0</v>
      </c>
      <c r="V132" s="165">
        <f>+SUMPRODUCT(V133:V133,W133:W133)</f>
        <v>0.25</v>
      </c>
      <c r="W132" s="142">
        <v>0.25</v>
      </c>
      <c r="X132" s="394">
        <v>0.25</v>
      </c>
      <c r="Y132" s="145">
        <f>SUM(Y133)</f>
        <v>100000000</v>
      </c>
      <c r="Z132" s="145">
        <f>SUM(Z133)</f>
        <v>0</v>
      </c>
      <c r="AA132" s="145">
        <f>SUM(AA133)</f>
        <v>98769142</v>
      </c>
      <c r="AB132" s="207">
        <f t="shared" si="52"/>
        <v>0.98769141999999999</v>
      </c>
      <c r="AC132" s="145">
        <f>SUM(AC133)</f>
        <v>96091876</v>
      </c>
      <c r="AD132" s="1386">
        <f t="shared" si="53"/>
        <v>0.96091875999999998</v>
      </c>
      <c r="AE132" s="145">
        <f>SUM(AE133)</f>
        <v>2677266</v>
      </c>
      <c r="AF132" s="145">
        <f>SUM(AF133)</f>
        <v>0</v>
      </c>
      <c r="AG132" s="145">
        <f>SUM(AG133)</f>
        <v>0</v>
      </c>
      <c r="AH132" s="505" t="e">
        <f t="shared" si="54"/>
        <v>#DIV/0!</v>
      </c>
      <c r="AI132" s="145">
        <f t="shared" ref="AI132:AJ132" si="124">SUM(AI133)</f>
        <v>400000000</v>
      </c>
      <c r="AJ132" s="145">
        <f t="shared" si="124"/>
        <v>98769142</v>
      </c>
      <c r="AK132" s="1321">
        <f t="shared" si="55"/>
        <v>0.246922855</v>
      </c>
      <c r="AL132" s="166"/>
      <c r="AM132" s="159"/>
      <c r="AN132" s="482"/>
      <c r="AO132" s="145"/>
      <c r="AP132" s="483"/>
      <c r="AQ132" s="101"/>
    </row>
    <row r="133" spans="1:43" ht="229.5" x14ac:dyDescent="0.25">
      <c r="A133" s="254" t="s">
        <v>603</v>
      </c>
      <c r="B133" s="1391" t="s">
        <v>794</v>
      </c>
      <c r="C133" s="1394">
        <v>1</v>
      </c>
      <c r="D133" s="185">
        <v>1</v>
      </c>
      <c r="E133" s="1234">
        <v>0</v>
      </c>
      <c r="F133" s="1232">
        <v>1</v>
      </c>
      <c r="G133" s="1232">
        <v>1</v>
      </c>
      <c r="H133" s="167">
        <f t="shared" ref="H133" si="125">IF((E133+G133)/C133&gt;=100%,100%,(E133+G133)/C133)</f>
        <v>1</v>
      </c>
      <c r="I133" s="520">
        <f t="shared" ref="I133" si="126">IF(F133/D133&gt;=100%,100%,F133/D133)</f>
        <v>1</v>
      </c>
      <c r="J133" s="1325" t="s">
        <v>1496</v>
      </c>
      <c r="K133" s="1325"/>
      <c r="L133" s="1236"/>
      <c r="M133" s="1237"/>
      <c r="N133" s="1238"/>
      <c r="O133" s="1325"/>
      <c r="P133" s="1325"/>
      <c r="Q133" s="1325"/>
      <c r="R133" s="1239"/>
      <c r="S133" s="1325"/>
      <c r="T133" s="1326">
        <v>4</v>
      </c>
      <c r="U133" s="1241">
        <f t="shared" ref="U133" si="127">SUM(E133:F133)</f>
        <v>1</v>
      </c>
      <c r="V133" s="170">
        <f t="shared" ref="V133" si="128">IF(U133/T133&gt;=100%,100%,U133/T133)</f>
        <v>0.25</v>
      </c>
      <c r="W133" s="1327">
        <v>1</v>
      </c>
      <c r="X133" s="1369">
        <v>1</v>
      </c>
      <c r="Y133" s="467">
        <v>100000000</v>
      </c>
      <c r="Z133" s="280">
        <v>0</v>
      </c>
      <c r="AA133" s="1388">
        <v>98769142</v>
      </c>
      <c r="AB133" s="208">
        <f t="shared" si="52"/>
        <v>0.98769141999999999</v>
      </c>
      <c r="AC133" s="206">
        <v>96091876</v>
      </c>
      <c r="AD133" s="1389">
        <f t="shared" si="53"/>
        <v>0.96091875999999998</v>
      </c>
      <c r="AE133" s="1247">
        <f>+AA133-AC133</f>
        <v>2677266</v>
      </c>
      <c r="AF133" s="1388"/>
      <c r="AG133" s="1388"/>
      <c r="AH133" s="506" t="e">
        <f t="shared" si="54"/>
        <v>#DIV/0!</v>
      </c>
      <c r="AI133" s="1255">
        <v>400000000</v>
      </c>
      <c r="AJ133" s="1255">
        <f t="shared" si="117"/>
        <v>98769142</v>
      </c>
      <c r="AK133" s="1332">
        <f t="shared" si="55"/>
        <v>0.246922855</v>
      </c>
      <c r="AL133" s="1330"/>
      <c r="AM133" s="1248"/>
      <c r="AN133" s="1249" t="s">
        <v>30</v>
      </c>
      <c r="AO133" s="1395" t="s">
        <v>916</v>
      </c>
      <c r="AP133" s="1250"/>
      <c r="AQ133" s="1251"/>
    </row>
    <row r="134" spans="1:43" ht="51" x14ac:dyDescent="0.25">
      <c r="A134" s="1201" t="s">
        <v>434</v>
      </c>
      <c r="B134" s="1202"/>
      <c r="C134" s="1203"/>
      <c r="D134" s="1204"/>
      <c r="E134" s="1205"/>
      <c r="F134" s="1203"/>
      <c r="G134" s="1203"/>
      <c r="H134" s="1396">
        <f>+(H135*W135)</f>
        <v>1</v>
      </c>
      <c r="I134" s="1260">
        <f>+(I135*X135)</f>
        <v>1</v>
      </c>
      <c r="J134" s="1207"/>
      <c r="K134" s="1207"/>
      <c r="L134" s="1207"/>
      <c r="M134" s="1208"/>
      <c r="N134" s="1208"/>
      <c r="O134" s="1207"/>
      <c r="P134" s="1207"/>
      <c r="Q134" s="1207"/>
      <c r="R134" s="1310"/>
      <c r="S134" s="1207"/>
      <c r="T134" s="1210"/>
      <c r="U134" s="1211"/>
      <c r="V134" s="1397">
        <f>+(V135*W135)</f>
        <v>0.25</v>
      </c>
      <c r="W134" s="1213">
        <v>0.15</v>
      </c>
      <c r="X134" s="1214">
        <v>0.15</v>
      </c>
      <c r="Y134" s="1215">
        <f>+Y135</f>
        <v>600000000</v>
      </c>
      <c r="Z134" s="1215">
        <f>+Z135</f>
        <v>0</v>
      </c>
      <c r="AA134" s="1215">
        <f>+AA135</f>
        <v>592541079</v>
      </c>
      <c r="AB134" s="1216">
        <f t="shared" si="52"/>
        <v>0.98756846499999995</v>
      </c>
      <c r="AC134" s="1215">
        <f>+AC135</f>
        <v>415652749</v>
      </c>
      <c r="AD134" s="1218">
        <f t="shared" si="53"/>
        <v>0.6927545816666667</v>
      </c>
      <c r="AE134" s="1215">
        <f>+AE135</f>
        <v>176888330</v>
      </c>
      <c r="AF134" s="1215">
        <f>+AF135</f>
        <v>0</v>
      </c>
      <c r="AG134" s="1215">
        <f>+AG135</f>
        <v>0</v>
      </c>
      <c r="AH134" s="1219" t="e">
        <f t="shared" si="54"/>
        <v>#DIV/0!</v>
      </c>
      <c r="AI134" s="1215">
        <f t="shared" ref="AI134:AJ134" si="129">+AI135</f>
        <v>3000000000</v>
      </c>
      <c r="AJ134" s="1215">
        <f t="shared" si="129"/>
        <v>592541079</v>
      </c>
      <c r="AK134" s="1265">
        <f t="shared" si="55"/>
        <v>0.19751369299999999</v>
      </c>
      <c r="AL134" s="1221"/>
      <c r="AM134" s="1221" t="s">
        <v>300</v>
      </c>
      <c r="AN134" s="1222"/>
      <c r="AO134" s="1215"/>
      <c r="AP134" s="1223"/>
      <c r="AQ134" s="1224"/>
    </row>
    <row r="135" spans="1:43" ht="25.5" x14ac:dyDescent="0.25">
      <c r="A135" s="241" t="s">
        <v>476</v>
      </c>
      <c r="B135" s="140"/>
      <c r="C135" s="141"/>
      <c r="D135" s="187"/>
      <c r="E135" s="181"/>
      <c r="F135" s="141"/>
      <c r="G135" s="141"/>
      <c r="H135" s="142">
        <f>+SUMPRODUCT(H136:H139,W136:W139)</f>
        <v>1</v>
      </c>
      <c r="I135" s="157">
        <f>+SUMPRODUCT(I136:I139,X136:X139)</f>
        <v>1</v>
      </c>
      <c r="J135" s="164"/>
      <c r="K135" s="164"/>
      <c r="L135" s="143"/>
      <c r="M135" s="144"/>
      <c r="N135" s="144"/>
      <c r="O135" s="164"/>
      <c r="P135" s="164"/>
      <c r="Q135" s="164"/>
      <c r="R135" s="158"/>
      <c r="S135" s="164"/>
      <c r="T135" s="191"/>
      <c r="U135" s="201"/>
      <c r="V135" s="165">
        <f>+SUMPRODUCT(V136:V139,W136:W139)</f>
        <v>0.25</v>
      </c>
      <c r="W135" s="142">
        <v>1</v>
      </c>
      <c r="X135" s="394">
        <v>1</v>
      </c>
      <c r="Y135" s="145">
        <f>SUM(Y136:Y139)</f>
        <v>600000000</v>
      </c>
      <c r="Z135" s="145">
        <f>SUM(Z136:Z139)</f>
        <v>0</v>
      </c>
      <c r="AA135" s="145">
        <f>SUM(AA136:AA139)</f>
        <v>592541079</v>
      </c>
      <c r="AB135" s="207">
        <f t="shared" si="52"/>
        <v>0.98756846499999995</v>
      </c>
      <c r="AC135" s="145">
        <f>SUM(AC136:AC139)</f>
        <v>415652749</v>
      </c>
      <c r="AD135" s="1386">
        <f t="shared" si="53"/>
        <v>0.6927545816666667</v>
      </c>
      <c r="AE135" s="145">
        <f>SUM(AE136:AE139)</f>
        <v>176888330</v>
      </c>
      <c r="AF135" s="145">
        <f>SUM(AF136:AF139)</f>
        <v>0</v>
      </c>
      <c r="AG135" s="145">
        <f>SUM(AG136:AG139)</f>
        <v>0</v>
      </c>
      <c r="AH135" s="505" t="e">
        <f t="shared" si="54"/>
        <v>#DIV/0!</v>
      </c>
      <c r="AI135" s="145">
        <f t="shared" ref="AI135:AJ135" si="130">SUM(AI136:AI139)</f>
        <v>3000000000</v>
      </c>
      <c r="AJ135" s="145">
        <f t="shared" si="130"/>
        <v>592541079</v>
      </c>
      <c r="AK135" s="1321">
        <f t="shared" si="55"/>
        <v>0.19751369299999999</v>
      </c>
      <c r="AL135" s="166"/>
      <c r="AM135" s="159"/>
      <c r="AN135" s="482"/>
      <c r="AO135" s="145"/>
      <c r="AP135" s="483"/>
      <c r="AQ135" s="101"/>
    </row>
    <row r="136" spans="1:43" ht="127.5" x14ac:dyDescent="0.25">
      <c r="A136" s="253" t="s">
        <v>604</v>
      </c>
      <c r="B136" s="348" t="s">
        <v>873</v>
      </c>
      <c r="C136" s="377">
        <v>1</v>
      </c>
      <c r="D136" s="185">
        <v>1</v>
      </c>
      <c r="E136" s="1234">
        <v>0</v>
      </c>
      <c r="F136" s="1232">
        <v>1</v>
      </c>
      <c r="G136" s="1232">
        <v>1</v>
      </c>
      <c r="H136" s="167">
        <f t="shared" ref="H136:H139" si="131">IF((E136+G136)/C136&gt;=100%,100%,(E136+G136)/C136)</f>
        <v>1</v>
      </c>
      <c r="I136" s="520">
        <f t="shared" ref="I136:I139" si="132">IF(F136/D136&gt;=100%,100%,F136/D136)</f>
        <v>1</v>
      </c>
      <c r="J136" s="1325" t="s">
        <v>1497</v>
      </c>
      <c r="K136" s="1325"/>
      <c r="L136" s="1236"/>
      <c r="M136" s="1237"/>
      <c r="N136" s="1238"/>
      <c r="O136" s="1325"/>
      <c r="P136" s="1325"/>
      <c r="Q136" s="1325"/>
      <c r="R136" s="1239"/>
      <c r="S136" s="1325"/>
      <c r="T136" s="1326">
        <v>4</v>
      </c>
      <c r="U136" s="1241">
        <f t="shared" ref="U136:U139" si="133">SUM(E136:F136)</f>
        <v>1</v>
      </c>
      <c r="V136" s="170">
        <f t="shared" ref="V136:V139" si="134">IF(U136/T136&gt;=100%,100%,U136/T136)</f>
        <v>0.25</v>
      </c>
      <c r="W136" s="167">
        <v>0.25</v>
      </c>
      <c r="X136" s="395">
        <v>0.25</v>
      </c>
      <c r="Y136" s="465">
        <v>150000000</v>
      </c>
      <c r="Z136" s="280">
        <v>0</v>
      </c>
      <c r="AA136" s="1388">
        <v>148132023</v>
      </c>
      <c r="AB136" s="208">
        <f t="shared" si="52"/>
        <v>0.98754682000000005</v>
      </c>
      <c r="AC136" s="206">
        <v>144167220</v>
      </c>
      <c r="AD136" s="1389">
        <f t="shared" si="53"/>
        <v>0.96111480000000005</v>
      </c>
      <c r="AE136" s="1247">
        <f>+AA136-AC136</f>
        <v>3964803</v>
      </c>
      <c r="AF136" s="1388"/>
      <c r="AG136" s="1388"/>
      <c r="AH136" s="506" t="e">
        <f t="shared" si="54"/>
        <v>#DIV/0!</v>
      </c>
      <c r="AI136" s="1255">
        <v>750000000</v>
      </c>
      <c r="AJ136" s="1255">
        <f t="shared" ref="AJ136:AJ139" si="135">+SUM(Z136:AA136)</f>
        <v>148132023</v>
      </c>
      <c r="AK136" s="1332">
        <f t="shared" si="55"/>
        <v>0.19750936399999999</v>
      </c>
      <c r="AL136" s="1330"/>
      <c r="AM136" s="1248"/>
      <c r="AN136" s="1249" t="s">
        <v>30</v>
      </c>
      <c r="AO136" s="1878" t="s">
        <v>917</v>
      </c>
      <c r="AP136" s="1250"/>
      <c r="AQ136" s="1251"/>
    </row>
    <row r="137" spans="1:43" ht="204" x14ac:dyDescent="0.25">
      <c r="A137" s="253" t="s">
        <v>605</v>
      </c>
      <c r="B137" s="348" t="s">
        <v>874</v>
      </c>
      <c r="C137" s="377">
        <v>1</v>
      </c>
      <c r="D137" s="185">
        <v>1</v>
      </c>
      <c r="E137" s="1234">
        <v>0</v>
      </c>
      <c r="F137" s="1232">
        <v>1</v>
      </c>
      <c r="G137" s="1232">
        <v>1</v>
      </c>
      <c r="H137" s="167">
        <f t="shared" si="131"/>
        <v>1</v>
      </c>
      <c r="I137" s="520">
        <f t="shared" si="132"/>
        <v>1</v>
      </c>
      <c r="J137" s="1325" t="s">
        <v>1498</v>
      </c>
      <c r="K137" s="1325"/>
      <c r="L137" s="1236"/>
      <c r="M137" s="1237"/>
      <c r="N137" s="1238"/>
      <c r="O137" s="1325"/>
      <c r="P137" s="1325"/>
      <c r="Q137" s="1325"/>
      <c r="R137" s="1239"/>
      <c r="S137" s="1325"/>
      <c r="T137" s="1326">
        <v>4</v>
      </c>
      <c r="U137" s="1241">
        <f t="shared" si="133"/>
        <v>1</v>
      </c>
      <c r="V137" s="170">
        <f t="shared" si="134"/>
        <v>0.25</v>
      </c>
      <c r="W137" s="167">
        <v>0.25</v>
      </c>
      <c r="X137" s="395">
        <v>0.25</v>
      </c>
      <c r="Y137" s="465">
        <v>150000000</v>
      </c>
      <c r="Z137" s="280">
        <v>0</v>
      </c>
      <c r="AA137" s="1388">
        <v>148136352</v>
      </c>
      <c r="AB137" s="208">
        <f t="shared" ref="AB137:AB200" si="136">+AA137/Y137</f>
        <v>0.98757567999999996</v>
      </c>
      <c r="AC137" s="206">
        <v>144161843</v>
      </c>
      <c r="AD137" s="1389">
        <f t="shared" ref="AD137:AD200" si="137">+AC137/Y137</f>
        <v>0.96107895333333337</v>
      </c>
      <c r="AE137" s="1247">
        <f>+AA137-AC137</f>
        <v>3974509</v>
      </c>
      <c r="AF137" s="1388"/>
      <c r="AG137" s="1388"/>
      <c r="AH137" s="506" t="e">
        <f t="shared" ref="AH137:AH200" si="138">+AG137/AF137</f>
        <v>#DIV/0!</v>
      </c>
      <c r="AI137" s="1255">
        <v>750000000</v>
      </c>
      <c r="AJ137" s="1255">
        <f t="shared" si="135"/>
        <v>148136352</v>
      </c>
      <c r="AK137" s="1332">
        <f t="shared" ref="AK137:AK200" si="139">+AJ137/AI137</f>
        <v>0.19751513600000001</v>
      </c>
      <c r="AL137" s="1330"/>
      <c r="AM137" s="1248"/>
      <c r="AN137" s="1249" t="s">
        <v>30</v>
      </c>
      <c r="AO137" s="1874"/>
      <c r="AP137" s="1250"/>
      <c r="AQ137" s="1251"/>
    </row>
    <row r="138" spans="1:43" ht="204" x14ac:dyDescent="0.25">
      <c r="A138" s="253" t="s">
        <v>606</v>
      </c>
      <c r="B138" s="348" t="s">
        <v>874</v>
      </c>
      <c r="C138" s="377">
        <v>1</v>
      </c>
      <c r="D138" s="185">
        <v>1</v>
      </c>
      <c r="E138" s="1234">
        <v>0</v>
      </c>
      <c r="F138" s="1232">
        <v>1</v>
      </c>
      <c r="G138" s="1232">
        <v>1</v>
      </c>
      <c r="H138" s="167">
        <f t="shared" si="131"/>
        <v>1</v>
      </c>
      <c r="I138" s="520">
        <f t="shared" si="132"/>
        <v>1</v>
      </c>
      <c r="J138" s="1325" t="s">
        <v>1499</v>
      </c>
      <c r="K138" s="1325"/>
      <c r="L138" s="1236"/>
      <c r="M138" s="1237"/>
      <c r="N138" s="1238"/>
      <c r="O138" s="1325"/>
      <c r="P138" s="1325"/>
      <c r="Q138" s="1325"/>
      <c r="R138" s="1239"/>
      <c r="S138" s="1325"/>
      <c r="T138" s="1326">
        <v>4</v>
      </c>
      <c r="U138" s="1241">
        <f t="shared" si="133"/>
        <v>1</v>
      </c>
      <c r="V138" s="170">
        <f t="shared" si="134"/>
        <v>0.25</v>
      </c>
      <c r="W138" s="167">
        <v>0.25</v>
      </c>
      <c r="X138" s="395">
        <v>0.25</v>
      </c>
      <c r="Y138" s="465">
        <v>150000000</v>
      </c>
      <c r="Z138" s="280">
        <v>0</v>
      </c>
      <c r="AA138" s="1388">
        <v>148136352</v>
      </c>
      <c r="AB138" s="208">
        <f t="shared" si="136"/>
        <v>0.98757567999999996</v>
      </c>
      <c r="AC138" s="206">
        <v>121161843</v>
      </c>
      <c r="AD138" s="1389">
        <f t="shared" si="137"/>
        <v>0.80774562000000005</v>
      </c>
      <c r="AE138" s="1247">
        <f>+AA138-AC138</f>
        <v>26974509</v>
      </c>
      <c r="AF138" s="1388"/>
      <c r="AG138" s="1388"/>
      <c r="AH138" s="506" t="e">
        <f t="shared" si="138"/>
        <v>#DIV/0!</v>
      </c>
      <c r="AI138" s="1255">
        <v>750000000</v>
      </c>
      <c r="AJ138" s="1255">
        <f t="shared" si="135"/>
        <v>148136352</v>
      </c>
      <c r="AK138" s="1332">
        <f t="shared" si="139"/>
        <v>0.19751513600000001</v>
      </c>
      <c r="AL138" s="1330"/>
      <c r="AM138" s="1248"/>
      <c r="AN138" s="1249" t="s">
        <v>30</v>
      </c>
      <c r="AO138" s="1874"/>
      <c r="AP138" s="1250"/>
      <c r="AQ138" s="1251"/>
    </row>
    <row r="139" spans="1:43" ht="280.5" x14ac:dyDescent="0.25">
      <c r="A139" s="253" t="s">
        <v>607</v>
      </c>
      <c r="B139" s="1398" t="s">
        <v>795</v>
      </c>
      <c r="C139" s="377">
        <v>1</v>
      </c>
      <c r="D139" s="185">
        <v>1</v>
      </c>
      <c r="E139" s="1234">
        <v>0</v>
      </c>
      <c r="F139" s="1232">
        <v>1</v>
      </c>
      <c r="G139" s="1232">
        <v>1</v>
      </c>
      <c r="H139" s="167">
        <f t="shared" si="131"/>
        <v>1</v>
      </c>
      <c r="I139" s="520">
        <f t="shared" si="132"/>
        <v>1</v>
      </c>
      <c r="J139" s="1325" t="s">
        <v>1500</v>
      </c>
      <c r="K139" s="1325"/>
      <c r="L139" s="1236"/>
      <c r="M139" s="1237"/>
      <c r="N139" s="1238"/>
      <c r="O139" s="1325"/>
      <c r="P139" s="1325"/>
      <c r="Q139" s="1325"/>
      <c r="R139" s="1239"/>
      <c r="S139" s="1325"/>
      <c r="T139" s="1326">
        <v>4</v>
      </c>
      <c r="U139" s="1241">
        <f t="shared" si="133"/>
        <v>1</v>
      </c>
      <c r="V139" s="170">
        <f t="shared" si="134"/>
        <v>0.25</v>
      </c>
      <c r="W139" s="167">
        <v>0.25</v>
      </c>
      <c r="X139" s="395">
        <v>0.25</v>
      </c>
      <c r="Y139" s="465">
        <v>150000000</v>
      </c>
      <c r="Z139" s="280">
        <v>0</v>
      </c>
      <c r="AA139" s="1388">
        <v>148136352</v>
      </c>
      <c r="AB139" s="208">
        <f t="shared" si="136"/>
        <v>0.98757567999999996</v>
      </c>
      <c r="AC139" s="206">
        <v>6161843</v>
      </c>
      <c r="AD139" s="1331">
        <f t="shared" si="137"/>
        <v>4.1078953333333335E-2</v>
      </c>
      <c r="AE139" s="1247">
        <f>+AA139-AC139</f>
        <v>141974509</v>
      </c>
      <c r="AF139" s="1388"/>
      <c r="AG139" s="1388"/>
      <c r="AH139" s="506" t="e">
        <f t="shared" si="138"/>
        <v>#DIV/0!</v>
      </c>
      <c r="AI139" s="1255">
        <v>750000000</v>
      </c>
      <c r="AJ139" s="1255">
        <f t="shared" si="135"/>
        <v>148136352</v>
      </c>
      <c r="AK139" s="1332">
        <f t="shared" si="139"/>
        <v>0.19751513600000001</v>
      </c>
      <c r="AL139" s="1330"/>
      <c r="AM139" s="1248"/>
      <c r="AN139" s="1249" t="s">
        <v>302</v>
      </c>
      <c r="AO139" s="1870"/>
      <c r="AP139" s="1250"/>
      <c r="AQ139" s="1251"/>
    </row>
    <row r="140" spans="1:43" ht="38.25" x14ac:dyDescent="0.25">
      <c r="A140" s="1201" t="s">
        <v>435</v>
      </c>
      <c r="B140" s="1202"/>
      <c r="C140" s="1203"/>
      <c r="D140" s="1204"/>
      <c r="E140" s="1205"/>
      <c r="F140" s="1203"/>
      <c r="G140" s="1203"/>
      <c r="H140" s="1308">
        <f>+(H141*0%)+(H144*100%)</f>
        <v>0</v>
      </c>
      <c r="I140" s="1260">
        <f>+(I141*X141)+(I144*X144)</f>
        <v>1</v>
      </c>
      <c r="J140" s="1207"/>
      <c r="K140" s="1207"/>
      <c r="L140" s="1207"/>
      <c r="M140" s="1208"/>
      <c r="N140" s="1208"/>
      <c r="O140" s="1207"/>
      <c r="P140" s="1207"/>
      <c r="Q140" s="1207"/>
      <c r="R140" s="1310"/>
      <c r="S140" s="1207"/>
      <c r="T140" s="1210"/>
      <c r="U140" s="1211"/>
      <c r="V140" s="1312">
        <f>+(V141*W141)+(V144*W144)</f>
        <v>0.85000000000000009</v>
      </c>
      <c r="W140" s="1213">
        <v>0.15</v>
      </c>
      <c r="X140" s="1214">
        <v>0.15</v>
      </c>
      <c r="Y140" s="1215">
        <f>+Y141+Y144</f>
        <v>1025000000</v>
      </c>
      <c r="Z140" s="1215">
        <f>+Z141+Z144</f>
        <v>125000000</v>
      </c>
      <c r="AA140" s="1217">
        <f>+AA141+AA144</f>
        <v>1013923268</v>
      </c>
      <c r="AB140" s="1216">
        <f t="shared" si="136"/>
        <v>0.9891934321951219</v>
      </c>
      <c r="AC140" s="1217">
        <f>+AC141+AC144</f>
        <v>562539524</v>
      </c>
      <c r="AD140" s="1218">
        <f t="shared" si="137"/>
        <v>0.548819047804878</v>
      </c>
      <c r="AE140" s="1215">
        <f>+AE141+AE144</f>
        <v>451383744</v>
      </c>
      <c r="AF140" s="1215">
        <f>+AF141+AF144</f>
        <v>62250000</v>
      </c>
      <c r="AG140" s="1215">
        <f>+AG141+AG144</f>
        <v>4000000</v>
      </c>
      <c r="AH140" s="1219">
        <f t="shared" si="138"/>
        <v>6.4257028112449793E-2</v>
      </c>
      <c r="AI140" s="1215">
        <f t="shared" ref="AI140:AJ140" si="140">+AI141+AI144</f>
        <v>4360000000</v>
      </c>
      <c r="AJ140" s="1215">
        <f t="shared" si="140"/>
        <v>1138923268</v>
      </c>
      <c r="AK140" s="1265">
        <f t="shared" si="139"/>
        <v>0.26122093302752292</v>
      </c>
      <c r="AL140" s="1221"/>
      <c r="AM140" s="1221" t="s">
        <v>300</v>
      </c>
      <c r="AN140" s="1222"/>
      <c r="AO140" s="1215"/>
      <c r="AP140" s="1223"/>
      <c r="AQ140" s="1224"/>
    </row>
    <row r="141" spans="1:43" ht="51" x14ac:dyDescent="0.25">
      <c r="A141" s="241" t="s">
        <v>477</v>
      </c>
      <c r="B141" s="140"/>
      <c r="C141" s="141"/>
      <c r="D141" s="187"/>
      <c r="E141" s="181"/>
      <c r="F141" s="141"/>
      <c r="G141" s="141"/>
      <c r="H141" s="142">
        <v>0</v>
      </c>
      <c r="I141" s="157">
        <f>+SUMPRODUCT(I142:I143,X142:X143)</f>
        <v>1</v>
      </c>
      <c r="J141" s="164"/>
      <c r="K141" s="164"/>
      <c r="L141" s="143"/>
      <c r="M141" s="144"/>
      <c r="N141" s="144"/>
      <c r="O141" s="164"/>
      <c r="P141" s="164"/>
      <c r="Q141" s="164"/>
      <c r="R141" s="158"/>
      <c r="S141" s="164"/>
      <c r="T141" s="191"/>
      <c r="U141" s="201"/>
      <c r="V141" s="165">
        <f>+SUMPRODUCT(V142:V143,W142:W143)</f>
        <v>1</v>
      </c>
      <c r="W141" s="142">
        <v>0.8</v>
      </c>
      <c r="X141" s="394">
        <v>0.8</v>
      </c>
      <c r="Y141" s="145">
        <f>SUM(Y142:Y143)</f>
        <v>900000000</v>
      </c>
      <c r="Z141" s="145">
        <f>SUM(Z142:Z143)</f>
        <v>0</v>
      </c>
      <c r="AA141" s="1256">
        <f>SUM(AA142:AA143)</f>
        <v>890476308</v>
      </c>
      <c r="AB141" s="207">
        <f t="shared" si="136"/>
        <v>0.98941811999999996</v>
      </c>
      <c r="AC141" s="1256">
        <f>SUM(AC142:AC143)</f>
        <v>497437069</v>
      </c>
      <c r="AD141" s="1386">
        <f t="shared" si="137"/>
        <v>0.55270785444444448</v>
      </c>
      <c r="AE141" s="145">
        <f>SUM(AE142:AE143)</f>
        <v>393039239</v>
      </c>
      <c r="AF141" s="145">
        <f>SUM(AF142:AF143)</f>
        <v>0</v>
      </c>
      <c r="AG141" s="145">
        <f>SUM(AG142:AG143)</f>
        <v>0</v>
      </c>
      <c r="AH141" s="505" t="e">
        <f t="shared" si="138"/>
        <v>#DIV/0!</v>
      </c>
      <c r="AI141" s="145">
        <f t="shared" ref="AI141:AJ141" si="141">SUM(AI142:AI143)</f>
        <v>3860000000</v>
      </c>
      <c r="AJ141" s="145">
        <f t="shared" si="141"/>
        <v>890476308</v>
      </c>
      <c r="AK141" s="1321">
        <f t="shared" si="139"/>
        <v>0.23069334404145078</v>
      </c>
      <c r="AL141" s="166"/>
      <c r="AM141" s="159"/>
      <c r="AN141" s="482"/>
      <c r="AO141" s="145"/>
      <c r="AP141" s="483"/>
      <c r="AQ141" s="101"/>
    </row>
    <row r="142" spans="1:43" ht="140.25" x14ac:dyDescent="0.25">
      <c r="A142" s="261" t="s">
        <v>608</v>
      </c>
      <c r="B142" s="348" t="s">
        <v>875</v>
      </c>
      <c r="C142" s="378">
        <v>0</v>
      </c>
      <c r="D142" s="311">
        <v>23</v>
      </c>
      <c r="E142" s="1234">
        <v>0</v>
      </c>
      <c r="F142" s="1232">
        <v>23</v>
      </c>
      <c r="G142" s="1232"/>
      <c r="H142" s="167" t="e">
        <f t="shared" ref="H142:H143" si="142">IF((E142+G142)/C142&gt;=100%,100%,(E142+G142)/C142)</f>
        <v>#DIV/0!</v>
      </c>
      <c r="I142" s="520">
        <f t="shared" ref="I142:I143" si="143">IF(F142/D142&gt;=100%,100%,F142/D142)</f>
        <v>1</v>
      </c>
      <c r="J142" s="1325" t="s">
        <v>985</v>
      </c>
      <c r="K142" s="1325"/>
      <c r="L142" s="1236"/>
      <c r="M142" s="1237"/>
      <c r="N142" s="1238"/>
      <c r="O142" s="1325"/>
      <c r="P142" s="1325"/>
      <c r="Q142" s="1325"/>
      <c r="R142" s="1239"/>
      <c r="S142" s="1325"/>
      <c r="T142" s="222">
        <v>23</v>
      </c>
      <c r="U142" s="1241">
        <f t="shared" ref="U142:U143" si="144">SUM(E142:F142)</f>
        <v>23</v>
      </c>
      <c r="V142" s="170">
        <f t="shared" ref="V142:V143" si="145">IF(U142/T142&gt;=100%,100%,U142/T142)</f>
        <v>1</v>
      </c>
      <c r="W142" s="167">
        <v>0.5</v>
      </c>
      <c r="X142" s="395">
        <v>0.5</v>
      </c>
      <c r="Y142" s="1399">
        <v>840000000</v>
      </c>
      <c r="Z142" s="280">
        <v>0</v>
      </c>
      <c r="AA142" s="1400">
        <v>831081538</v>
      </c>
      <c r="AB142" s="208">
        <f t="shared" si="136"/>
        <v>0.98938278333333329</v>
      </c>
      <c r="AC142" s="1401">
        <v>464258016</v>
      </c>
      <c r="AD142" s="1389">
        <f t="shared" si="137"/>
        <v>0.55268811428571429</v>
      </c>
      <c r="AE142" s="1247">
        <f>+AA142-AC142</f>
        <v>366823522</v>
      </c>
      <c r="AF142" s="1388"/>
      <c r="AG142" s="1388"/>
      <c r="AH142" s="506" t="e">
        <f t="shared" si="138"/>
        <v>#DIV/0!</v>
      </c>
      <c r="AI142" s="1255">
        <v>80000000</v>
      </c>
      <c r="AJ142" s="1255">
        <f t="shared" ref="AJ142:AJ143" si="146">+SUM(Z142:AA142)</f>
        <v>831081538</v>
      </c>
      <c r="AK142" s="1390">
        <f t="shared" si="139"/>
        <v>10.388519225</v>
      </c>
      <c r="AL142" s="1330"/>
      <c r="AM142" s="1248"/>
      <c r="AN142" s="1249" t="s">
        <v>30</v>
      </c>
      <c r="AO142" s="491" t="s">
        <v>1501</v>
      </c>
      <c r="AP142" s="1250"/>
      <c r="AQ142" s="1251"/>
    </row>
    <row r="143" spans="1:43" ht="191.25" x14ac:dyDescent="0.25">
      <c r="A143" s="262" t="s">
        <v>609</v>
      </c>
      <c r="B143" s="1402" t="s">
        <v>876</v>
      </c>
      <c r="C143" s="379">
        <v>0</v>
      </c>
      <c r="D143" s="312">
        <v>1</v>
      </c>
      <c r="E143" s="224">
        <v>0</v>
      </c>
      <c r="F143" s="169">
        <v>1</v>
      </c>
      <c r="G143" s="1232"/>
      <c r="H143" s="167" t="e">
        <f t="shared" si="142"/>
        <v>#DIV/0!</v>
      </c>
      <c r="I143" s="520">
        <f t="shared" si="143"/>
        <v>1</v>
      </c>
      <c r="J143" s="1325" t="s">
        <v>986</v>
      </c>
      <c r="K143" s="1325"/>
      <c r="L143" s="1236"/>
      <c r="M143" s="1237"/>
      <c r="N143" s="1238"/>
      <c r="O143" s="1325"/>
      <c r="P143" s="1325"/>
      <c r="Q143" s="1325"/>
      <c r="R143" s="1239"/>
      <c r="S143" s="1325"/>
      <c r="T143" s="223">
        <v>1</v>
      </c>
      <c r="U143" s="1241">
        <f t="shared" si="144"/>
        <v>1</v>
      </c>
      <c r="V143" s="170">
        <f t="shared" si="145"/>
        <v>1</v>
      </c>
      <c r="W143" s="167">
        <v>0.5</v>
      </c>
      <c r="X143" s="395">
        <v>0.5</v>
      </c>
      <c r="Y143" s="471">
        <v>60000000</v>
      </c>
      <c r="Z143" s="280">
        <v>0</v>
      </c>
      <c r="AA143" s="1400">
        <v>59394770</v>
      </c>
      <c r="AB143" s="208">
        <f t="shared" si="136"/>
        <v>0.98991283333333335</v>
      </c>
      <c r="AC143" s="1401">
        <v>33179053</v>
      </c>
      <c r="AD143" s="1389">
        <f t="shared" si="137"/>
        <v>0.55298421666666664</v>
      </c>
      <c r="AE143" s="1247">
        <f>+AA143-AC143</f>
        <v>26215717</v>
      </c>
      <c r="AF143" s="1388"/>
      <c r="AG143" s="1388"/>
      <c r="AH143" s="506" t="e">
        <f t="shared" si="138"/>
        <v>#DIV/0!</v>
      </c>
      <c r="AI143" s="1255">
        <v>3780000000</v>
      </c>
      <c r="AJ143" s="1255">
        <f t="shared" si="146"/>
        <v>59394770</v>
      </c>
      <c r="AK143" s="1332">
        <f t="shared" si="139"/>
        <v>1.5712902116402118E-2</v>
      </c>
      <c r="AL143" s="1330"/>
      <c r="AM143" s="1248"/>
      <c r="AN143" s="1249" t="s">
        <v>30</v>
      </c>
      <c r="AO143" s="491" t="s">
        <v>1501</v>
      </c>
      <c r="AP143" s="1250"/>
      <c r="AQ143" s="1251"/>
    </row>
    <row r="144" spans="1:43" ht="51" x14ac:dyDescent="0.25">
      <c r="A144" s="241" t="s">
        <v>478</v>
      </c>
      <c r="B144" s="140"/>
      <c r="C144" s="141"/>
      <c r="D144" s="187"/>
      <c r="E144" s="181"/>
      <c r="F144" s="141"/>
      <c r="G144" s="141"/>
      <c r="H144" s="142">
        <f>+(H145*100%)</f>
        <v>0</v>
      </c>
      <c r="I144" s="157">
        <f>+SUMPRODUCT(I145:I145,X145:X145)</f>
        <v>1</v>
      </c>
      <c r="J144" s="164"/>
      <c r="K144" s="164"/>
      <c r="L144" s="143"/>
      <c r="M144" s="144"/>
      <c r="N144" s="144"/>
      <c r="O144" s="164"/>
      <c r="P144" s="164"/>
      <c r="Q144" s="164"/>
      <c r="R144" s="158"/>
      <c r="S144" s="164"/>
      <c r="T144" s="191"/>
      <c r="U144" s="201"/>
      <c r="V144" s="165">
        <f>+SUMPRODUCT(V145:V145,W145:W145)</f>
        <v>0.25</v>
      </c>
      <c r="W144" s="142">
        <v>0.2</v>
      </c>
      <c r="X144" s="394">
        <v>0.2</v>
      </c>
      <c r="Y144" s="145">
        <f>SUM(Y145)</f>
        <v>125000000</v>
      </c>
      <c r="Z144" s="145">
        <f>SUM(Z145)</f>
        <v>125000000</v>
      </c>
      <c r="AA144" s="145">
        <f>SUM(AA145)</f>
        <v>123446960</v>
      </c>
      <c r="AB144" s="207">
        <f t="shared" si="136"/>
        <v>0.98757567999999996</v>
      </c>
      <c r="AC144" s="145">
        <f>SUM(AC145)</f>
        <v>65102455</v>
      </c>
      <c r="AD144" s="1386">
        <f t="shared" si="137"/>
        <v>0.52081964000000003</v>
      </c>
      <c r="AE144" s="145">
        <f>SUM(AE145)</f>
        <v>58344505</v>
      </c>
      <c r="AF144" s="145">
        <f>SUM(AF145)</f>
        <v>62250000</v>
      </c>
      <c r="AG144" s="145">
        <f>SUM(AG145)</f>
        <v>4000000</v>
      </c>
      <c r="AH144" s="505">
        <f t="shared" si="138"/>
        <v>6.4257028112449793E-2</v>
      </c>
      <c r="AI144" s="145">
        <f t="shared" ref="AI144:AJ144" si="147">SUM(AI145)</f>
        <v>500000000</v>
      </c>
      <c r="AJ144" s="145">
        <f t="shared" si="147"/>
        <v>248446960</v>
      </c>
      <c r="AK144" s="1321">
        <f t="shared" si="139"/>
        <v>0.49689391999999999</v>
      </c>
      <c r="AL144" s="166"/>
      <c r="AM144" s="159"/>
      <c r="AN144" s="482"/>
      <c r="AO144" s="145"/>
      <c r="AP144" s="483"/>
      <c r="AQ144" s="101"/>
    </row>
    <row r="145" spans="1:43" ht="230.25" thickBot="1" x14ac:dyDescent="0.3">
      <c r="A145" s="1403" t="s">
        <v>610</v>
      </c>
      <c r="B145" s="1404" t="s">
        <v>796</v>
      </c>
      <c r="C145" s="377">
        <v>1</v>
      </c>
      <c r="D145" s="185">
        <v>1</v>
      </c>
      <c r="E145" s="1234">
        <v>0</v>
      </c>
      <c r="F145" s="1232">
        <v>1</v>
      </c>
      <c r="G145" s="1232">
        <v>0</v>
      </c>
      <c r="H145" s="167">
        <f t="shared" ref="H145" si="148">IF((E145+G145)/C145&gt;=100%,100%,(E145+G145)/C145)</f>
        <v>0</v>
      </c>
      <c r="I145" s="520">
        <f t="shared" ref="I145" si="149">IF(F145/D145&gt;=100%,100%,F145/D145)</f>
        <v>1</v>
      </c>
      <c r="J145" s="1325" t="s">
        <v>987</v>
      </c>
      <c r="K145" s="1325"/>
      <c r="L145" s="1236"/>
      <c r="M145" s="1237"/>
      <c r="N145" s="1238"/>
      <c r="O145" s="1325"/>
      <c r="P145" s="1325"/>
      <c r="Q145" s="1325"/>
      <c r="R145" s="1239"/>
      <c r="S145" s="1325"/>
      <c r="T145" s="1326">
        <v>4</v>
      </c>
      <c r="U145" s="1241">
        <f t="shared" ref="U145" si="150">SUM(E145:F145)</f>
        <v>1</v>
      </c>
      <c r="V145" s="170">
        <f t="shared" ref="V145" si="151">IF(U145/T145&gt;=100%,100%,U145/T145)</f>
        <v>0.25</v>
      </c>
      <c r="W145" s="167">
        <v>1</v>
      </c>
      <c r="X145" s="395">
        <v>1</v>
      </c>
      <c r="Y145" s="467">
        <v>125000000</v>
      </c>
      <c r="Z145" s="280">
        <v>125000000</v>
      </c>
      <c r="AA145" s="1388">
        <v>123446960</v>
      </c>
      <c r="AB145" s="208">
        <f t="shared" si="136"/>
        <v>0.98757567999999996</v>
      </c>
      <c r="AC145" s="206">
        <v>65102455</v>
      </c>
      <c r="AD145" s="1389">
        <f t="shared" si="137"/>
        <v>0.52081964000000003</v>
      </c>
      <c r="AE145" s="1247">
        <f>+AA145-AC145</f>
        <v>58344505</v>
      </c>
      <c r="AF145" s="1388">
        <v>62250000</v>
      </c>
      <c r="AG145" s="1388">
        <v>4000000</v>
      </c>
      <c r="AH145" s="506">
        <f t="shared" si="138"/>
        <v>6.4257028112449793E-2</v>
      </c>
      <c r="AI145" s="1255">
        <v>500000000</v>
      </c>
      <c r="AJ145" s="1255">
        <f t="shared" ref="AJ145" si="152">+SUM(Z145:AA145)</f>
        <v>248446960</v>
      </c>
      <c r="AK145" s="1332">
        <f t="shared" si="139"/>
        <v>0.49689391999999999</v>
      </c>
      <c r="AL145" s="1330"/>
      <c r="AM145" s="1248"/>
      <c r="AN145" s="1249" t="s">
        <v>302</v>
      </c>
      <c r="AO145" s="1395" t="s">
        <v>913</v>
      </c>
      <c r="AP145" s="1250"/>
      <c r="AQ145" s="1251"/>
    </row>
    <row r="146" spans="1:43" ht="25.5" x14ac:dyDescent="0.25">
      <c r="A146" s="1174" t="s">
        <v>424</v>
      </c>
      <c r="B146" s="1289"/>
      <c r="C146" s="1290"/>
      <c r="D146" s="1291"/>
      <c r="E146" s="1292"/>
      <c r="F146" s="1290"/>
      <c r="G146" s="1290"/>
      <c r="H146" s="1180">
        <f>(H147*0%)+(H150*14%)+(H157*14%)+(H167*24%)+(H190*29%)+(H202*19%)+(H208*0%)</f>
        <v>0.94006400000000001</v>
      </c>
      <c r="I146" s="1180">
        <f>(I147*X147)+(I150*X150)+(I157*X157)+(I167*X167)+(I190*X190)+(I202*X202)+(I208*X208)</f>
        <v>0.71321524452173901</v>
      </c>
      <c r="J146" s="1405"/>
      <c r="K146" s="1405"/>
      <c r="L146" s="1182"/>
      <c r="M146" s="1183"/>
      <c r="N146" s="1183"/>
      <c r="O146" s="1405"/>
      <c r="P146" s="1405"/>
      <c r="Q146" s="1405"/>
      <c r="R146" s="1406"/>
      <c r="S146" s="1405"/>
      <c r="T146" s="1407"/>
      <c r="U146" s="1295"/>
      <c r="V146" s="1188">
        <f>(V147*W147)+(V150*W150)+(V157*W157)+(V167*W167)+(V190*W190)+(V202*W202)+(V208*W208)</f>
        <v>0.43091071428571431</v>
      </c>
      <c r="W146" s="1365">
        <v>0.15</v>
      </c>
      <c r="X146" s="1297">
        <v>0.15</v>
      </c>
      <c r="Y146" s="1191">
        <f>+Y147+Y150+Y157+Y167+Y190+Y202+Y208</f>
        <v>6022500000</v>
      </c>
      <c r="Z146" s="1191">
        <f>+Z147+Z150+Z157+Z167+Z190+Z202+Z208</f>
        <v>2780417319</v>
      </c>
      <c r="AA146" s="1192">
        <f>+AA147+AA150+AA157+AA167+AA190+AA202+AA208</f>
        <v>5433305897.1400003</v>
      </c>
      <c r="AB146" s="1298">
        <f t="shared" si="136"/>
        <v>0.90216785340639272</v>
      </c>
      <c r="AC146" s="1192">
        <f>+AC147+AC150+AC157+AC167+AC190+AC202+AC208</f>
        <v>4158637205.3000002</v>
      </c>
      <c r="AD146" s="1408">
        <f t="shared" si="137"/>
        <v>0.69051676302200082</v>
      </c>
      <c r="AE146" s="1191">
        <f>+AE147+AE150+AE157+AE167+AE190+AE202+AE208</f>
        <v>1274668691.8399999</v>
      </c>
      <c r="AF146" s="1191">
        <f>+AF147+AF150+AF157+AF167+AF190+AF202+AF208</f>
        <v>988775833</v>
      </c>
      <c r="AG146" s="1191">
        <f>+AG147+AG150+AG157+AG167+AG190+AG202+AG208</f>
        <v>869778890</v>
      </c>
      <c r="AH146" s="1300">
        <f t="shared" si="138"/>
        <v>0.87965225379856149</v>
      </c>
      <c r="AI146" s="1191">
        <f t="shared" ref="AI146:AJ146" si="153">+AI147+AI150+AI157+AI167+AI190+AI202+AI208</f>
        <v>26440000000</v>
      </c>
      <c r="AJ146" s="1191">
        <f t="shared" si="153"/>
        <v>8213723216.1400003</v>
      </c>
      <c r="AK146" s="1409">
        <f t="shared" si="139"/>
        <v>0.31065518971785178</v>
      </c>
      <c r="AL146" s="1410"/>
      <c r="AM146" s="1411"/>
      <c r="AN146" s="1412"/>
      <c r="AO146" s="1191"/>
      <c r="AP146" s="1306"/>
      <c r="AQ146" s="1307"/>
    </row>
    <row r="147" spans="1:43" ht="38.25" x14ac:dyDescent="0.25">
      <c r="A147" s="1201" t="s">
        <v>436</v>
      </c>
      <c r="B147" s="1202"/>
      <c r="C147" s="1203"/>
      <c r="D147" s="1204"/>
      <c r="E147" s="1205"/>
      <c r="F147" s="1203"/>
      <c r="G147" s="1203"/>
      <c r="H147" s="1206">
        <f>+(H148*0%)</f>
        <v>0</v>
      </c>
      <c r="I147" s="1260">
        <f>+(I148*X148)</f>
        <v>0</v>
      </c>
      <c r="J147" s="1413"/>
      <c r="K147" s="1413"/>
      <c r="L147" s="1207"/>
      <c r="M147" s="1208"/>
      <c r="N147" s="1208"/>
      <c r="O147" s="1413"/>
      <c r="P147" s="1413"/>
      <c r="Q147" s="1413"/>
      <c r="R147" s="1310"/>
      <c r="S147" s="1413"/>
      <c r="T147" s="1414"/>
      <c r="U147" s="1211"/>
      <c r="V147" s="1212">
        <f>+(V148*W148)</f>
        <v>0</v>
      </c>
      <c r="W147" s="1213">
        <v>0.05</v>
      </c>
      <c r="X147" s="1214">
        <v>0.05</v>
      </c>
      <c r="Y147" s="1215">
        <f>+Y148</f>
        <v>180000000</v>
      </c>
      <c r="Z147" s="1215">
        <f>+Z148</f>
        <v>0</v>
      </c>
      <c r="AA147" s="1215">
        <f>+AA148</f>
        <v>177204569.19999999</v>
      </c>
      <c r="AB147" s="1216">
        <f t="shared" si="136"/>
        <v>0.98446982888888879</v>
      </c>
      <c r="AC147" s="1215">
        <f>+AC148</f>
        <v>164176346</v>
      </c>
      <c r="AD147" s="1313">
        <f t="shared" si="137"/>
        <v>0.91209081111111112</v>
      </c>
      <c r="AE147" s="1215">
        <f>+AE148</f>
        <v>13028223.199999988</v>
      </c>
      <c r="AF147" s="1215">
        <f>+AF148</f>
        <v>0</v>
      </c>
      <c r="AG147" s="1215">
        <f>+AG148</f>
        <v>0</v>
      </c>
      <c r="AH147" s="1219" t="e">
        <f t="shared" si="138"/>
        <v>#DIV/0!</v>
      </c>
      <c r="AI147" s="1215">
        <f t="shared" ref="AI147:AJ147" si="154">+AI148</f>
        <v>600000000</v>
      </c>
      <c r="AJ147" s="1215">
        <f t="shared" si="154"/>
        <v>177204569.19999999</v>
      </c>
      <c r="AK147" s="209">
        <f t="shared" si="139"/>
        <v>0.29534094866666666</v>
      </c>
      <c r="AL147" s="161"/>
      <c r="AM147" s="1221" t="s">
        <v>293</v>
      </c>
      <c r="AN147" s="1222"/>
      <c r="AO147" s="1215"/>
      <c r="AP147" s="1223"/>
      <c r="AQ147" s="1224"/>
    </row>
    <row r="148" spans="1:43" x14ac:dyDescent="0.25">
      <c r="A148" s="241" t="s">
        <v>479</v>
      </c>
      <c r="B148" s="140"/>
      <c r="C148" s="141"/>
      <c r="D148" s="187"/>
      <c r="E148" s="181"/>
      <c r="F148" s="141"/>
      <c r="G148" s="141"/>
      <c r="H148" s="142">
        <v>0</v>
      </c>
      <c r="I148" s="157">
        <f>+SUMPRODUCT(I149:I149,X149:X149)</f>
        <v>0</v>
      </c>
      <c r="J148" s="172"/>
      <c r="K148" s="172"/>
      <c r="L148" s="143"/>
      <c r="M148" s="144"/>
      <c r="N148" s="144"/>
      <c r="O148" s="172"/>
      <c r="P148" s="172"/>
      <c r="Q148" s="172"/>
      <c r="R148" s="158"/>
      <c r="S148" s="172"/>
      <c r="T148" s="193"/>
      <c r="U148" s="201"/>
      <c r="V148" s="165">
        <f>+SUMPRODUCT(V149:V149,W149:W149)</f>
        <v>0</v>
      </c>
      <c r="W148" s="142">
        <v>1</v>
      </c>
      <c r="X148" s="394">
        <v>1</v>
      </c>
      <c r="Y148" s="145">
        <f>SUM(Y149)</f>
        <v>180000000</v>
      </c>
      <c r="Z148" s="145">
        <f>SUM(Z149)</f>
        <v>0</v>
      </c>
      <c r="AA148" s="145">
        <f>SUM(AA149)</f>
        <v>177204569.19999999</v>
      </c>
      <c r="AB148" s="207">
        <f t="shared" si="136"/>
        <v>0.98446982888888879</v>
      </c>
      <c r="AC148" s="145">
        <f>SUM(AC149)</f>
        <v>164176346</v>
      </c>
      <c r="AD148" s="1386">
        <f t="shared" si="137"/>
        <v>0.91209081111111112</v>
      </c>
      <c r="AE148" s="145">
        <f>SUM(AE149)</f>
        <v>13028223.199999988</v>
      </c>
      <c r="AF148" s="145">
        <f>SUM(AF149)</f>
        <v>0</v>
      </c>
      <c r="AG148" s="145">
        <f>SUM(AG149)</f>
        <v>0</v>
      </c>
      <c r="AH148" s="505" t="e">
        <f t="shared" si="138"/>
        <v>#DIV/0!</v>
      </c>
      <c r="AI148" s="145">
        <f t="shared" ref="AI148:AJ148" si="155">SUM(AI149)</f>
        <v>600000000</v>
      </c>
      <c r="AJ148" s="145">
        <f t="shared" si="155"/>
        <v>177204569.19999999</v>
      </c>
      <c r="AK148" s="1321">
        <f t="shared" si="139"/>
        <v>0.29534094866666666</v>
      </c>
      <c r="AL148" s="166"/>
      <c r="AM148" s="159"/>
      <c r="AN148" s="482"/>
      <c r="AO148" s="145"/>
      <c r="AP148" s="483"/>
      <c r="AQ148" s="101"/>
    </row>
    <row r="149" spans="1:43" ht="204" x14ac:dyDescent="0.25">
      <c r="A149" s="263" t="s">
        <v>611</v>
      </c>
      <c r="B149" s="1415" t="s">
        <v>877</v>
      </c>
      <c r="C149" s="1416">
        <v>0</v>
      </c>
      <c r="D149" s="1417">
        <v>1</v>
      </c>
      <c r="E149" s="1234">
        <v>0</v>
      </c>
      <c r="F149" s="1232">
        <v>0</v>
      </c>
      <c r="G149" s="1232"/>
      <c r="H149" s="167" t="e">
        <f t="shared" ref="H149" si="156">IF((E149+G149)/C149&gt;=100%,100%,(E149+G149)/C149)</f>
        <v>#DIV/0!</v>
      </c>
      <c r="I149" s="520">
        <f t="shared" ref="I149" si="157">IF(F149/D149&gt;=100%,100%,F149/D149)</f>
        <v>0</v>
      </c>
      <c r="J149" s="1418" t="s">
        <v>988</v>
      </c>
      <c r="K149" s="1418"/>
      <c r="L149" s="1236"/>
      <c r="M149" s="1237"/>
      <c r="N149" s="1238"/>
      <c r="O149" s="1418"/>
      <c r="P149" s="1418"/>
      <c r="Q149" s="1418"/>
      <c r="R149" s="1239"/>
      <c r="S149" s="1418"/>
      <c r="T149" s="1419">
        <v>3</v>
      </c>
      <c r="U149" s="1241">
        <f t="shared" ref="U149" si="158">SUM(E149:F149)</f>
        <v>0</v>
      </c>
      <c r="V149" s="170">
        <f t="shared" ref="V149" si="159">IF(U149/T149&gt;=100%,100%,U149/T149)</f>
        <v>0</v>
      </c>
      <c r="W149" s="167">
        <v>1</v>
      </c>
      <c r="X149" s="395">
        <v>1</v>
      </c>
      <c r="Y149" s="1420">
        <v>180000000</v>
      </c>
      <c r="Z149" s="1421">
        <v>0</v>
      </c>
      <c r="AA149" s="1388">
        <v>177204569.19999999</v>
      </c>
      <c r="AB149" s="208">
        <f t="shared" si="136"/>
        <v>0.98446982888888879</v>
      </c>
      <c r="AC149" s="206">
        <v>164176346</v>
      </c>
      <c r="AD149" s="1389">
        <f t="shared" si="137"/>
        <v>0.91209081111111112</v>
      </c>
      <c r="AE149" s="1247">
        <f>+AA149-AC149</f>
        <v>13028223.199999988</v>
      </c>
      <c r="AF149" s="1388"/>
      <c r="AG149" s="1388"/>
      <c r="AH149" s="506" t="e">
        <f t="shared" si="138"/>
        <v>#DIV/0!</v>
      </c>
      <c r="AI149" s="1255">
        <v>600000000</v>
      </c>
      <c r="AJ149" s="1255">
        <f t="shared" ref="AJ149" si="160">+SUM(Z149:AA149)</f>
        <v>177204569.19999999</v>
      </c>
      <c r="AK149" s="1332">
        <f t="shared" si="139"/>
        <v>0.29534094866666666</v>
      </c>
      <c r="AL149" s="1330"/>
      <c r="AM149" s="1248"/>
      <c r="AN149" s="1249" t="s">
        <v>21</v>
      </c>
      <c r="AO149" s="1422" t="s">
        <v>895</v>
      </c>
      <c r="AP149" s="1250"/>
      <c r="AQ149" s="1251"/>
    </row>
    <row r="150" spans="1:43" ht="51" x14ac:dyDescent="0.25">
      <c r="A150" s="1201" t="s">
        <v>437</v>
      </c>
      <c r="B150" s="1202"/>
      <c r="C150" s="1203"/>
      <c r="D150" s="1204"/>
      <c r="E150" s="1205"/>
      <c r="F150" s="1203"/>
      <c r="G150" s="1203"/>
      <c r="H150" s="1206">
        <f>+(H151*40%)+(H153*60%)+(H155*0%)</f>
        <v>1</v>
      </c>
      <c r="I150" s="1260">
        <f>+(I151*X151)+(I153*X153)+(I155*X155)</f>
        <v>0.7</v>
      </c>
      <c r="J150" s="1413"/>
      <c r="K150" s="1413"/>
      <c r="L150" s="1207"/>
      <c r="M150" s="1208"/>
      <c r="N150" s="1208"/>
      <c r="O150" s="1413"/>
      <c r="P150" s="1413"/>
      <c r="Q150" s="1413"/>
      <c r="R150" s="1310"/>
      <c r="S150" s="1413"/>
      <c r="T150" s="1414"/>
      <c r="U150" s="1211"/>
      <c r="V150" s="1212">
        <f>+(V151*W151)+(V153*W153)+(V155*W155)</f>
        <v>0.35</v>
      </c>
      <c r="W150" s="1213">
        <v>0.1</v>
      </c>
      <c r="X150" s="1214">
        <v>0.1</v>
      </c>
      <c r="Y150" s="1215">
        <f>+Y151+Y153+Y155</f>
        <v>480000000</v>
      </c>
      <c r="Z150" s="1215">
        <f>+Z151+Z153+Z155</f>
        <v>68500000</v>
      </c>
      <c r="AA150" s="1215">
        <f>+AA151+AA153+AA155</f>
        <v>472511601</v>
      </c>
      <c r="AB150" s="1216">
        <f t="shared" si="136"/>
        <v>0.98439916875</v>
      </c>
      <c r="AC150" s="1215">
        <f>+AC151+AC153+AC155</f>
        <v>445997516</v>
      </c>
      <c r="AD150" s="1313">
        <f t="shared" si="137"/>
        <v>0.92916149166666662</v>
      </c>
      <c r="AE150" s="1215">
        <f>+AE151+AE153+AE155</f>
        <v>26514085</v>
      </c>
      <c r="AF150" s="1215">
        <f>+AF151+AF153+AF155</f>
        <v>38500000</v>
      </c>
      <c r="AG150" s="1215">
        <f>+AG151+AG153+AG155</f>
        <v>38500000</v>
      </c>
      <c r="AH150" s="1219">
        <f t="shared" si="138"/>
        <v>1</v>
      </c>
      <c r="AI150" s="1215">
        <f t="shared" ref="AI150:AJ150" si="161">+AI151+AI153+AI155</f>
        <v>1540000000</v>
      </c>
      <c r="AJ150" s="1215">
        <f t="shared" si="161"/>
        <v>541011601</v>
      </c>
      <c r="AK150" s="209">
        <f t="shared" si="139"/>
        <v>0.3513062344155844</v>
      </c>
      <c r="AL150" s="161"/>
      <c r="AM150" s="1221" t="s">
        <v>298</v>
      </c>
      <c r="AN150" s="1222"/>
      <c r="AO150" s="1215"/>
      <c r="AP150" s="1223"/>
      <c r="AQ150" s="1224"/>
    </row>
    <row r="151" spans="1:43" x14ac:dyDescent="0.25">
      <c r="A151" s="241" t="s">
        <v>480</v>
      </c>
      <c r="B151" s="140"/>
      <c r="C151" s="141"/>
      <c r="D151" s="187"/>
      <c r="E151" s="181"/>
      <c r="F151" s="141"/>
      <c r="G151" s="141"/>
      <c r="H151" s="142">
        <f>+SUMPRODUCT(H152:H152,W152:W152)</f>
        <v>1</v>
      </c>
      <c r="I151" s="157">
        <f>+SUMPRODUCT(I152:I152,X152:X152)</f>
        <v>1</v>
      </c>
      <c r="J151" s="164"/>
      <c r="K151" s="164"/>
      <c r="L151" s="143"/>
      <c r="M151" s="144"/>
      <c r="N151" s="144"/>
      <c r="O151" s="164"/>
      <c r="P151" s="164"/>
      <c r="Q151" s="164"/>
      <c r="R151" s="158"/>
      <c r="S151" s="164"/>
      <c r="T151" s="191"/>
      <c r="U151" s="201"/>
      <c r="V151" s="165">
        <f>+SUMPRODUCT(V152:V152,W152:W152)</f>
        <v>0.5</v>
      </c>
      <c r="W151" s="142">
        <v>0.3</v>
      </c>
      <c r="X151" s="394">
        <v>0.3</v>
      </c>
      <c r="Y151" s="145">
        <f>SUM(Y152)</f>
        <v>140000000</v>
      </c>
      <c r="Z151" s="145">
        <f>SUM(Z152)</f>
        <v>0</v>
      </c>
      <c r="AA151" s="145">
        <f>SUM(AA152)</f>
        <v>137825746</v>
      </c>
      <c r="AB151" s="207">
        <f t="shared" si="136"/>
        <v>0.98446961428571433</v>
      </c>
      <c r="AC151" s="145">
        <f>SUM(AC152)</f>
        <v>127134839</v>
      </c>
      <c r="AD151" s="1386">
        <f t="shared" si="137"/>
        <v>0.90810599285714289</v>
      </c>
      <c r="AE151" s="145">
        <f>SUM(AE152)</f>
        <v>10690907</v>
      </c>
      <c r="AF151" s="145">
        <f>SUM(AF152)</f>
        <v>0</v>
      </c>
      <c r="AG151" s="145">
        <f>SUM(AG152)</f>
        <v>0</v>
      </c>
      <c r="AH151" s="505" t="e">
        <f t="shared" si="138"/>
        <v>#DIV/0!</v>
      </c>
      <c r="AI151" s="145">
        <f t="shared" ref="AI151:AJ151" si="162">SUM(AI152)</f>
        <v>510000000</v>
      </c>
      <c r="AJ151" s="145">
        <f t="shared" si="162"/>
        <v>137825746</v>
      </c>
      <c r="AK151" s="1321">
        <f t="shared" si="139"/>
        <v>0.27024656078431375</v>
      </c>
      <c r="AL151" s="166"/>
      <c r="AM151" s="159"/>
      <c r="AN151" s="482"/>
      <c r="AO151" s="145"/>
      <c r="AP151" s="483"/>
      <c r="AQ151" s="101"/>
    </row>
    <row r="152" spans="1:43" ht="114.75" x14ac:dyDescent="0.25">
      <c r="A152" s="264" t="s">
        <v>612</v>
      </c>
      <c r="B152" s="1423" t="s">
        <v>878</v>
      </c>
      <c r="C152" s="377">
        <v>1</v>
      </c>
      <c r="D152" s="185">
        <v>1</v>
      </c>
      <c r="E152" s="1234">
        <v>1</v>
      </c>
      <c r="F152" s="1232">
        <v>1</v>
      </c>
      <c r="G152" s="1232"/>
      <c r="H152" s="167">
        <f t="shared" ref="H152" si="163">IF((E152+G152)/C152&gt;=100%,100%,(E152+G152)/C152)</f>
        <v>1</v>
      </c>
      <c r="I152" s="520">
        <f t="shared" ref="I152" si="164">IF(F152/D152&gt;=100%,100%,F152/D152)</f>
        <v>1</v>
      </c>
      <c r="J152" s="1325" t="s">
        <v>989</v>
      </c>
      <c r="K152" s="1325"/>
      <c r="L152" s="1236"/>
      <c r="M152" s="1237"/>
      <c r="N152" s="1238"/>
      <c r="O152" s="1325"/>
      <c r="P152" s="1325"/>
      <c r="Q152" s="1325"/>
      <c r="R152" s="1239"/>
      <c r="S152" s="1325"/>
      <c r="T152" s="1326">
        <v>4</v>
      </c>
      <c r="U152" s="1241">
        <f t="shared" ref="U152" si="165">SUM(E152:F152)</f>
        <v>2</v>
      </c>
      <c r="V152" s="170">
        <f t="shared" ref="V152" si="166">IF(U152/T152&gt;=100%,100%,U152/T152)</f>
        <v>0.5</v>
      </c>
      <c r="W152" s="167">
        <v>1</v>
      </c>
      <c r="X152" s="395">
        <v>1</v>
      </c>
      <c r="Y152" s="472">
        <v>140000000</v>
      </c>
      <c r="Z152" s="284">
        <v>0</v>
      </c>
      <c r="AA152" s="1388">
        <v>137825746</v>
      </c>
      <c r="AB152" s="208">
        <f t="shared" si="136"/>
        <v>0.98446961428571433</v>
      </c>
      <c r="AC152" s="206">
        <v>127134839</v>
      </c>
      <c r="AD152" s="1389">
        <f t="shared" si="137"/>
        <v>0.90810599285714289</v>
      </c>
      <c r="AE152" s="1247">
        <f>+AA152-AC152</f>
        <v>10690907</v>
      </c>
      <c r="AF152" s="1388"/>
      <c r="AG152" s="1388"/>
      <c r="AH152" s="506" t="e">
        <f t="shared" si="138"/>
        <v>#DIV/0!</v>
      </c>
      <c r="AI152" s="1255">
        <v>510000000</v>
      </c>
      <c r="AJ152" s="1255">
        <f t="shared" ref="AJ152:AJ156" si="167">+SUM(Z152:AA152)</f>
        <v>137825746</v>
      </c>
      <c r="AK152" s="1332">
        <f t="shared" si="139"/>
        <v>0.27024656078431375</v>
      </c>
      <c r="AL152" s="1330"/>
      <c r="AM152" s="1248"/>
      <c r="AN152" s="1249" t="s">
        <v>21</v>
      </c>
      <c r="AO152" s="492" t="s">
        <v>918</v>
      </c>
      <c r="AP152" s="1250"/>
      <c r="AQ152" s="1251"/>
    </row>
    <row r="153" spans="1:43" x14ac:dyDescent="0.25">
      <c r="A153" s="241" t="s">
        <v>481</v>
      </c>
      <c r="B153" s="140"/>
      <c r="C153" s="141"/>
      <c r="D153" s="187"/>
      <c r="E153" s="181"/>
      <c r="F153" s="141"/>
      <c r="G153" s="141"/>
      <c r="H153" s="142">
        <f>+SUMPRODUCT(H154:H154,W154:W154)</f>
        <v>1</v>
      </c>
      <c r="I153" s="157">
        <f>+SUMPRODUCT(I154:I154,X154:X154)</f>
        <v>1</v>
      </c>
      <c r="J153" s="164"/>
      <c r="K153" s="164"/>
      <c r="L153" s="143"/>
      <c r="M153" s="144"/>
      <c r="N153" s="144"/>
      <c r="O153" s="164"/>
      <c r="P153" s="164"/>
      <c r="Q153" s="164"/>
      <c r="R153" s="158"/>
      <c r="S153" s="164"/>
      <c r="T153" s="191"/>
      <c r="U153" s="201"/>
      <c r="V153" s="165">
        <f>+SUMPRODUCT(V154:V154,W154:W154)</f>
        <v>0.5</v>
      </c>
      <c r="W153" s="142">
        <v>0.4</v>
      </c>
      <c r="X153" s="394">
        <v>0.4</v>
      </c>
      <c r="Y153" s="145">
        <f>SUM(Y154)</f>
        <v>160000000</v>
      </c>
      <c r="Z153" s="145">
        <f>SUM(Z154)</f>
        <v>68500000</v>
      </c>
      <c r="AA153" s="145">
        <f>SUM(AA154)</f>
        <v>157516021</v>
      </c>
      <c r="AB153" s="207">
        <f t="shared" si="136"/>
        <v>0.98447513124999997</v>
      </c>
      <c r="AC153" s="145">
        <f>SUM(AC154)</f>
        <v>152164275</v>
      </c>
      <c r="AD153" s="1386">
        <f t="shared" si="137"/>
        <v>0.95102671875</v>
      </c>
      <c r="AE153" s="145">
        <f>SUM(AE154)</f>
        <v>5351746</v>
      </c>
      <c r="AF153" s="145">
        <f>SUM(AF154)</f>
        <v>38500000</v>
      </c>
      <c r="AG153" s="145">
        <f>SUM(AG154)</f>
        <v>38500000</v>
      </c>
      <c r="AH153" s="505">
        <f t="shared" si="138"/>
        <v>1</v>
      </c>
      <c r="AI153" s="145">
        <f>SUM(AI154)</f>
        <v>630000000</v>
      </c>
      <c r="AJ153" s="145">
        <f>SUM(AJ154)</f>
        <v>226016021</v>
      </c>
      <c r="AK153" s="1321">
        <f t="shared" si="139"/>
        <v>0.35875558888888887</v>
      </c>
      <c r="AL153" s="166"/>
      <c r="AM153" s="159"/>
      <c r="AN153" s="482"/>
      <c r="AO153" s="145"/>
      <c r="AP153" s="483"/>
      <c r="AQ153" s="101"/>
    </row>
    <row r="154" spans="1:43" ht="114.75" x14ac:dyDescent="0.25">
      <c r="A154" s="265" t="s">
        <v>613</v>
      </c>
      <c r="B154" s="1423" t="s">
        <v>878</v>
      </c>
      <c r="C154" s="377">
        <v>1</v>
      </c>
      <c r="D154" s="185">
        <v>1</v>
      </c>
      <c r="E154" s="1234">
        <v>1</v>
      </c>
      <c r="F154" s="1232">
        <v>1</v>
      </c>
      <c r="G154" s="1232"/>
      <c r="H154" s="167">
        <f t="shared" ref="H154" si="168">IF((E154+G154)/C154&gt;=100%,100%,(E154+G154)/C154)</f>
        <v>1</v>
      </c>
      <c r="I154" s="520">
        <f t="shared" ref="I154" si="169">IF(F154/D154&gt;=100%,100%,F154/D154)</f>
        <v>1</v>
      </c>
      <c r="J154" s="1325" t="s">
        <v>989</v>
      </c>
      <c r="K154" s="1325"/>
      <c r="L154" s="1236"/>
      <c r="M154" s="1237"/>
      <c r="N154" s="1238"/>
      <c r="O154" s="1325"/>
      <c r="P154" s="1325"/>
      <c r="Q154" s="1325"/>
      <c r="R154" s="1239"/>
      <c r="S154" s="1325"/>
      <c r="T154" s="1326">
        <v>4</v>
      </c>
      <c r="U154" s="1241">
        <f t="shared" ref="U154" si="170">SUM(E154:F154)</f>
        <v>2</v>
      </c>
      <c r="V154" s="170">
        <f t="shared" ref="V154" si="171">IF(U154/T154&gt;=100%,100%,U154/T154)</f>
        <v>0.5</v>
      </c>
      <c r="W154" s="167">
        <v>1</v>
      </c>
      <c r="X154" s="395">
        <v>1</v>
      </c>
      <c r="Y154" s="473">
        <v>160000000</v>
      </c>
      <c r="Z154" s="284">
        <v>68500000</v>
      </c>
      <c r="AA154" s="1388">
        <v>157516021</v>
      </c>
      <c r="AB154" s="208">
        <f t="shared" si="136"/>
        <v>0.98447513124999997</v>
      </c>
      <c r="AC154" s="206">
        <v>152164275</v>
      </c>
      <c r="AD154" s="1389">
        <f t="shared" si="137"/>
        <v>0.95102671875</v>
      </c>
      <c r="AE154" s="1247">
        <f>+AA154-AC154</f>
        <v>5351746</v>
      </c>
      <c r="AF154" s="1388">
        <v>38500000</v>
      </c>
      <c r="AG154" s="1388">
        <v>38500000</v>
      </c>
      <c r="AH154" s="506">
        <f t="shared" si="138"/>
        <v>1</v>
      </c>
      <c r="AI154" s="1255">
        <v>630000000</v>
      </c>
      <c r="AJ154" s="1255">
        <f t="shared" si="167"/>
        <v>226016021</v>
      </c>
      <c r="AK154" s="1332">
        <f t="shared" si="139"/>
        <v>0.35875558888888887</v>
      </c>
      <c r="AL154" s="1330"/>
      <c r="AM154" s="1248"/>
      <c r="AN154" s="1249" t="s">
        <v>21</v>
      </c>
      <c r="AO154" s="1424" t="s">
        <v>918</v>
      </c>
      <c r="AP154" s="1250"/>
      <c r="AQ154" s="1251"/>
    </row>
    <row r="155" spans="1:43" x14ac:dyDescent="0.25">
      <c r="A155" s="241" t="s">
        <v>482</v>
      </c>
      <c r="B155" s="140"/>
      <c r="C155" s="141"/>
      <c r="D155" s="187"/>
      <c r="E155" s="181"/>
      <c r="F155" s="141"/>
      <c r="G155" s="141"/>
      <c r="H155" s="142">
        <v>0</v>
      </c>
      <c r="I155" s="157">
        <f>+SUMPRODUCT(I156:I156,X156:X156)</f>
        <v>0</v>
      </c>
      <c r="J155" s="164"/>
      <c r="K155" s="164"/>
      <c r="L155" s="143"/>
      <c r="M155" s="144"/>
      <c r="N155" s="144"/>
      <c r="O155" s="164"/>
      <c r="P155" s="164"/>
      <c r="Q155" s="164"/>
      <c r="R155" s="158"/>
      <c r="S155" s="164"/>
      <c r="T155" s="191"/>
      <c r="U155" s="201"/>
      <c r="V155" s="165">
        <f>+SUMPRODUCT(V156:V156,W156:W156)</f>
        <v>0</v>
      </c>
      <c r="W155" s="142">
        <v>0.3</v>
      </c>
      <c r="X155" s="394">
        <v>0.3</v>
      </c>
      <c r="Y155" s="145">
        <f>SUM(Y156)</f>
        <v>180000000</v>
      </c>
      <c r="Z155" s="145">
        <f>SUM(Z156)</f>
        <v>0</v>
      </c>
      <c r="AA155" s="145">
        <f>SUM(AA156)</f>
        <v>177169834</v>
      </c>
      <c r="AB155" s="207">
        <f t="shared" si="136"/>
        <v>0.98427685555555555</v>
      </c>
      <c r="AC155" s="145">
        <f>SUM(AC156)</f>
        <v>166698402</v>
      </c>
      <c r="AD155" s="1386">
        <f t="shared" si="137"/>
        <v>0.9261022333333333</v>
      </c>
      <c r="AE155" s="145">
        <f>SUM(AE156)</f>
        <v>10471432</v>
      </c>
      <c r="AF155" s="145">
        <f>SUM(AF156)</f>
        <v>0</v>
      </c>
      <c r="AG155" s="145">
        <f>SUM(AG156)</f>
        <v>0</v>
      </c>
      <c r="AH155" s="505" t="e">
        <f t="shared" si="138"/>
        <v>#DIV/0!</v>
      </c>
      <c r="AI155" s="145">
        <f t="shared" ref="AI155:AJ155" si="172">SUM(AI156)</f>
        <v>400000000</v>
      </c>
      <c r="AJ155" s="145">
        <f t="shared" si="172"/>
        <v>177169834</v>
      </c>
      <c r="AK155" s="1321">
        <f t="shared" si="139"/>
        <v>0.44292458499999998</v>
      </c>
      <c r="AL155" s="166"/>
      <c r="AM155" s="159"/>
      <c r="AN155" s="482"/>
      <c r="AO155" s="145"/>
      <c r="AP155" s="483"/>
      <c r="AQ155" s="101"/>
    </row>
    <row r="156" spans="1:43" ht="114.75" x14ac:dyDescent="0.25">
      <c r="A156" s="1425" t="s">
        <v>614</v>
      </c>
      <c r="B156" s="351" t="s">
        <v>797</v>
      </c>
      <c r="C156" s="1426">
        <v>0</v>
      </c>
      <c r="D156" s="1427">
        <v>1</v>
      </c>
      <c r="E156" s="1234">
        <v>0</v>
      </c>
      <c r="F156" s="1232">
        <v>0</v>
      </c>
      <c r="G156" s="1232"/>
      <c r="H156" s="167" t="e">
        <f t="shared" ref="H156" si="173">IF((E156+G156)/C156&gt;=100%,100%,(E156+G156)/C156)</f>
        <v>#DIV/0!</v>
      </c>
      <c r="I156" s="520">
        <f t="shared" ref="I156" si="174">IF(F156/D156&gt;=100%,100%,F156/D156)</f>
        <v>0</v>
      </c>
      <c r="J156" s="1325" t="s">
        <v>990</v>
      </c>
      <c r="K156" s="1325"/>
      <c r="L156" s="1236"/>
      <c r="M156" s="1237"/>
      <c r="N156" s="1238"/>
      <c r="O156" s="1325"/>
      <c r="P156" s="1325"/>
      <c r="Q156" s="1325"/>
      <c r="R156" s="1239"/>
      <c r="S156" s="1325"/>
      <c r="T156" s="1326">
        <v>2</v>
      </c>
      <c r="U156" s="1241">
        <f t="shared" ref="U156" si="175">SUM(E156:F156)</f>
        <v>0</v>
      </c>
      <c r="V156" s="170">
        <f t="shared" ref="V156" si="176">IF(U156/T156&gt;=100%,100%,U156/T156)</f>
        <v>0</v>
      </c>
      <c r="W156" s="167">
        <v>1</v>
      </c>
      <c r="X156" s="395">
        <v>1</v>
      </c>
      <c r="Y156" s="473">
        <v>180000000</v>
      </c>
      <c r="Z156" s="284">
        <v>0</v>
      </c>
      <c r="AA156" s="1388">
        <v>177169834</v>
      </c>
      <c r="AB156" s="208">
        <f t="shared" si="136"/>
        <v>0.98427685555555555</v>
      </c>
      <c r="AC156" s="206">
        <v>166698402</v>
      </c>
      <c r="AD156" s="1389">
        <f t="shared" si="137"/>
        <v>0.9261022333333333</v>
      </c>
      <c r="AE156" s="1247">
        <f>+AA156-AC156</f>
        <v>10471432</v>
      </c>
      <c r="AF156" s="1388"/>
      <c r="AG156" s="1388"/>
      <c r="AH156" s="506" t="e">
        <f t="shared" si="138"/>
        <v>#DIV/0!</v>
      </c>
      <c r="AI156" s="1255">
        <v>400000000</v>
      </c>
      <c r="AJ156" s="1255">
        <f t="shared" si="167"/>
        <v>177169834</v>
      </c>
      <c r="AK156" s="1332">
        <f t="shared" si="139"/>
        <v>0.44292458499999998</v>
      </c>
      <c r="AL156" s="1330"/>
      <c r="AM156" s="1248"/>
      <c r="AN156" s="1249" t="s">
        <v>302</v>
      </c>
      <c r="AO156" s="492" t="s">
        <v>918</v>
      </c>
    </row>
    <row r="157" spans="1:43" ht="25.5" x14ac:dyDescent="0.25">
      <c r="A157" s="1201" t="s">
        <v>438</v>
      </c>
      <c r="B157" s="1202"/>
      <c r="C157" s="1203"/>
      <c r="D157" s="1204"/>
      <c r="E157" s="1205"/>
      <c r="F157" s="1203"/>
      <c r="G157" s="1203"/>
      <c r="H157" s="1206">
        <f>+(H158*45%)+(H161*20%)+(H163*35%)</f>
        <v>0.9</v>
      </c>
      <c r="I157" s="1260">
        <f>+(I158*X158)+(I161*X161)+(I163*X163)+(I165*X165)</f>
        <v>1</v>
      </c>
      <c r="J157" s="1413"/>
      <c r="K157" s="1413"/>
      <c r="L157" s="1207"/>
      <c r="M157" s="1208"/>
      <c r="N157" s="1208"/>
      <c r="O157" s="1413"/>
      <c r="P157" s="1413"/>
      <c r="Q157" s="1413"/>
      <c r="R157" s="1310"/>
      <c r="S157" s="1413"/>
      <c r="T157" s="1414"/>
      <c r="U157" s="1211"/>
      <c r="V157" s="1212">
        <f>+(V158*W158)+(V161*W161)+(V163*W163)+(V165*W165)</f>
        <v>0.38500000000000006</v>
      </c>
      <c r="W157" s="1213">
        <v>0.1</v>
      </c>
      <c r="X157" s="1214">
        <v>0.14000000000000001</v>
      </c>
      <c r="Y157" s="1215">
        <f>+Y158+Y161+Y163+Y165</f>
        <v>510000000</v>
      </c>
      <c r="Z157" s="1215">
        <f>+Z158+Z161+Z163+Z165</f>
        <v>519650000</v>
      </c>
      <c r="AA157" s="1215">
        <f>+AA158+AA161+AA163+AA165</f>
        <v>486929495</v>
      </c>
      <c r="AB157" s="1216">
        <f t="shared" si="136"/>
        <v>0.95476371568627449</v>
      </c>
      <c r="AC157" s="1215">
        <f>+AC158+AC161+AC163+AC165</f>
        <v>447174904</v>
      </c>
      <c r="AD157" s="1313">
        <f t="shared" si="137"/>
        <v>0.87681353725490196</v>
      </c>
      <c r="AE157" s="1215">
        <f>+AE158+AE161+AE163+AE165</f>
        <v>39754591</v>
      </c>
      <c r="AF157" s="1215">
        <f>+AF158+AF161+AF163+AF165</f>
        <v>410600000</v>
      </c>
      <c r="AG157" s="1215">
        <f>+AG158+AG161+AG163+AG165</f>
        <v>320578348</v>
      </c>
      <c r="AH157" s="1219">
        <f t="shared" si="138"/>
        <v>0.78075584023380418</v>
      </c>
      <c r="AI157" s="1215">
        <f t="shared" ref="AI157:AJ157" si="177">+AI158+AI161+AI163+AI165</f>
        <v>3900000000</v>
      </c>
      <c r="AJ157" s="1215">
        <f t="shared" si="177"/>
        <v>1006579495</v>
      </c>
      <c r="AK157" s="209">
        <f t="shared" si="139"/>
        <v>0.25809730641025641</v>
      </c>
      <c r="AL157" s="161"/>
      <c r="AM157" s="1221" t="s">
        <v>297</v>
      </c>
      <c r="AN157" s="1222"/>
      <c r="AO157" s="1215"/>
      <c r="AP157" s="1223"/>
      <c r="AQ157" s="1224"/>
    </row>
    <row r="158" spans="1:43" ht="25.5" x14ac:dyDescent="0.25">
      <c r="A158" s="241" t="s">
        <v>483</v>
      </c>
      <c r="B158" s="140"/>
      <c r="C158" s="141"/>
      <c r="D158" s="187"/>
      <c r="E158" s="181"/>
      <c r="F158" s="141"/>
      <c r="G158" s="141"/>
      <c r="H158" s="142">
        <f>+(H159*100%)</f>
        <v>1</v>
      </c>
      <c r="I158" s="157">
        <f>+SUMPRODUCT(I159:I160,X159:X160)</f>
        <v>1</v>
      </c>
      <c r="J158" s="172"/>
      <c r="K158" s="172"/>
      <c r="L158" s="143"/>
      <c r="M158" s="144"/>
      <c r="N158" s="144"/>
      <c r="O158" s="172"/>
      <c r="P158" s="172"/>
      <c r="Q158" s="172"/>
      <c r="R158" s="158"/>
      <c r="S158" s="172"/>
      <c r="T158" s="193"/>
      <c r="U158" s="201"/>
      <c r="V158" s="165">
        <f>+SUMPRODUCT(V159:V160,W159:W160)</f>
        <v>0.4</v>
      </c>
      <c r="W158" s="142">
        <v>0.4</v>
      </c>
      <c r="X158" s="394">
        <v>0.45</v>
      </c>
      <c r="Y158" s="145">
        <f>SUM(Y159:Y160)</f>
        <v>180000000</v>
      </c>
      <c r="Z158" s="145">
        <f>SUM(Z159:Z160)</f>
        <v>143950000</v>
      </c>
      <c r="AA158" s="145">
        <f>SUM(AA159:AA160)</f>
        <v>162054527</v>
      </c>
      <c r="AB158" s="207">
        <f t="shared" si="136"/>
        <v>0.90030292777777776</v>
      </c>
      <c r="AC158" s="145">
        <f>SUM(AC159:AC160)</f>
        <v>149235219</v>
      </c>
      <c r="AD158" s="1386">
        <f t="shared" si="137"/>
        <v>0.82908455000000003</v>
      </c>
      <c r="AE158" s="145">
        <f>SUM(AE159:AE160)</f>
        <v>12819308</v>
      </c>
      <c r="AF158" s="145">
        <f>SUM(AF159:AF160)</f>
        <v>60600000</v>
      </c>
      <c r="AG158" s="145">
        <f>SUM(AG159:AG160)</f>
        <v>60600000</v>
      </c>
      <c r="AH158" s="505">
        <f t="shared" si="138"/>
        <v>1</v>
      </c>
      <c r="AI158" s="145">
        <f t="shared" ref="AI158:AJ158" si="178">SUM(AI159:AI160)</f>
        <v>1800000000</v>
      </c>
      <c r="AJ158" s="145">
        <f t="shared" si="178"/>
        <v>306004527</v>
      </c>
      <c r="AK158" s="1321">
        <f t="shared" si="139"/>
        <v>0.17000251499999999</v>
      </c>
      <c r="AL158" s="166"/>
      <c r="AM158" s="159"/>
      <c r="AN158" s="482"/>
      <c r="AO158" s="145"/>
      <c r="AP158" s="483"/>
      <c r="AQ158" s="101"/>
    </row>
    <row r="159" spans="1:43" ht="140.25" x14ac:dyDescent="0.25">
      <c r="A159" s="263" t="s">
        <v>615</v>
      </c>
      <c r="B159" s="352" t="s">
        <v>879</v>
      </c>
      <c r="C159" s="1416">
        <v>23</v>
      </c>
      <c r="D159" s="1427">
        <v>23</v>
      </c>
      <c r="E159" s="1428">
        <v>23</v>
      </c>
      <c r="F159" s="1232">
        <v>23</v>
      </c>
      <c r="G159" s="1232"/>
      <c r="H159" s="167">
        <f t="shared" ref="H159:H160" si="179">IF((E159+G159)/C159&gt;=100%,100%,(E159+G159)/C159)</f>
        <v>1</v>
      </c>
      <c r="I159" s="520">
        <f t="shared" ref="I159" si="180">IF(F159/D159&gt;=100%,100%,F159/D159)</f>
        <v>1</v>
      </c>
      <c r="J159" s="1418" t="s">
        <v>991</v>
      </c>
      <c r="K159" s="1418"/>
      <c r="L159" s="1236"/>
      <c r="M159" s="1237"/>
      <c r="N159" s="1238"/>
      <c r="O159" s="1418"/>
      <c r="P159" s="1418"/>
      <c r="Q159" s="1418"/>
      <c r="R159" s="1239"/>
      <c r="S159" s="1418"/>
      <c r="T159" s="1326">
        <v>23</v>
      </c>
      <c r="U159" s="1241">
        <f t="shared" ref="U159" si="181">SUM(E159:F159)</f>
        <v>46</v>
      </c>
      <c r="V159" s="170">
        <f t="shared" ref="V159:V160" si="182">IF(U159/T159&gt;=100%,100%,U159/T159)</f>
        <v>1</v>
      </c>
      <c r="W159" s="1327">
        <v>0.4</v>
      </c>
      <c r="X159" s="395">
        <v>1</v>
      </c>
      <c r="Y159" s="474">
        <v>180000000</v>
      </c>
      <c r="Z159" s="285">
        <v>143950000</v>
      </c>
      <c r="AA159" s="1388">
        <v>162054527</v>
      </c>
      <c r="AB159" s="208">
        <f t="shared" si="136"/>
        <v>0.90030292777777776</v>
      </c>
      <c r="AC159" s="206">
        <v>149235219</v>
      </c>
      <c r="AD159" s="1389">
        <f t="shared" si="137"/>
        <v>0.82908455000000003</v>
      </c>
      <c r="AE159" s="1247">
        <f>+AA159-AC159</f>
        <v>12819308</v>
      </c>
      <c r="AF159" s="1388">
        <v>60600000</v>
      </c>
      <c r="AG159" s="1388">
        <v>60600000</v>
      </c>
      <c r="AH159" s="506">
        <f t="shared" si="138"/>
        <v>1</v>
      </c>
      <c r="AI159" s="1255">
        <v>800000000</v>
      </c>
      <c r="AJ159" s="1255">
        <f t="shared" ref="AJ159:AJ160" si="183">+SUM(Z159:AA159)</f>
        <v>306004527</v>
      </c>
      <c r="AK159" s="1332">
        <f t="shared" si="139"/>
        <v>0.38250565874999998</v>
      </c>
      <c r="AL159" s="1330"/>
      <c r="AM159" s="1248"/>
      <c r="AN159" s="1249" t="s">
        <v>27</v>
      </c>
      <c r="AO159" s="493" t="s">
        <v>919</v>
      </c>
      <c r="AP159" s="1250"/>
      <c r="AQ159" s="1251"/>
    </row>
    <row r="160" spans="1:43" ht="25.5" x14ac:dyDescent="0.25">
      <c r="A160" s="263" t="s">
        <v>616</v>
      </c>
      <c r="B160" s="353" t="s">
        <v>798</v>
      </c>
      <c r="C160" s="1416">
        <v>0</v>
      </c>
      <c r="D160" s="1427">
        <v>0</v>
      </c>
      <c r="E160" s="1428">
        <v>0</v>
      </c>
      <c r="F160" s="1232"/>
      <c r="G160" s="1232"/>
      <c r="H160" s="167" t="e">
        <f t="shared" si="179"/>
        <v>#DIV/0!</v>
      </c>
      <c r="I160" s="520">
        <v>0</v>
      </c>
      <c r="K160" s="1418"/>
      <c r="L160" s="1236"/>
      <c r="M160" s="1237"/>
      <c r="N160" s="1238"/>
      <c r="O160" s="1418"/>
      <c r="P160" s="1418"/>
      <c r="Q160" s="1418"/>
      <c r="R160" s="1239"/>
      <c r="S160" s="1418"/>
      <c r="T160" s="1326">
        <v>1</v>
      </c>
      <c r="U160" s="1241">
        <f t="shared" ref="U160" si="184">SUM(E160:F160)</f>
        <v>0</v>
      </c>
      <c r="V160" s="170">
        <f t="shared" si="182"/>
        <v>0</v>
      </c>
      <c r="W160" s="1327">
        <v>0.6</v>
      </c>
      <c r="X160" s="395">
        <v>0</v>
      </c>
      <c r="Y160" s="475" t="s">
        <v>892</v>
      </c>
      <c r="Z160" s="1429" t="s">
        <v>892</v>
      </c>
      <c r="AA160" s="1388"/>
      <c r="AB160" s="208" t="e">
        <f t="shared" si="136"/>
        <v>#DIV/0!</v>
      </c>
      <c r="AC160" s="206"/>
      <c r="AD160" s="1331" t="e">
        <f t="shared" si="137"/>
        <v>#DIV/0!</v>
      </c>
      <c r="AE160" s="1430"/>
      <c r="AF160" s="1388"/>
      <c r="AG160" s="1388"/>
      <c r="AH160" s="506" t="e">
        <f t="shared" si="138"/>
        <v>#DIV/0!</v>
      </c>
      <c r="AI160" s="1255">
        <v>1000000000</v>
      </c>
      <c r="AJ160" s="1255">
        <f t="shared" si="183"/>
        <v>0</v>
      </c>
      <c r="AK160" s="1332">
        <f t="shared" si="139"/>
        <v>0</v>
      </c>
      <c r="AL160" s="1330"/>
      <c r="AM160" s="1248"/>
      <c r="AN160" s="1249" t="s">
        <v>302</v>
      </c>
      <c r="AO160" s="493" t="s">
        <v>895</v>
      </c>
      <c r="AP160" s="1250"/>
      <c r="AQ160" s="1251"/>
    </row>
    <row r="161" spans="1:43" ht="25.5" x14ac:dyDescent="0.25">
      <c r="A161" s="241" t="s">
        <v>484</v>
      </c>
      <c r="B161" s="140"/>
      <c r="C161" s="141"/>
      <c r="D161" s="187"/>
      <c r="E161" s="181"/>
      <c r="F161" s="141"/>
      <c r="G161" s="141"/>
      <c r="H161" s="142">
        <f>+SUMPRODUCT(H162:H162,W162:W162)</f>
        <v>0.5</v>
      </c>
      <c r="I161" s="157">
        <f>+SUMPRODUCT(I162:I162,X162:X162)</f>
        <v>1</v>
      </c>
      <c r="J161" s="172"/>
      <c r="K161" s="172"/>
      <c r="L161" s="143"/>
      <c r="M161" s="144"/>
      <c r="N161" s="144"/>
      <c r="O161" s="172"/>
      <c r="P161" s="172"/>
      <c r="Q161" s="172"/>
      <c r="R161" s="158"/>
      <c r="S161" s="172"/>
      <c r="T161" s="193"/>
      <c r="U161" s="201"/>
      <c r="V161" s="165">
        <f>+SUMPRODUCT(V162:V162,W162:W162)</f>
        <v>1</v>
      </c>
      <c r="W161" s="142">
        <v>0.15</v>
      </c>
      <c r="X161" s="394">
        <v>0.2</v>
      </c>
      <c r="Y161" s="145">
        <f>SUM(Y162)</f>
        <v>100000000</v>
      </c>
      <c r="Z161" s="145">
        <f>SUM(Z162)</f>
        <v>25700000</v>
      </c>
      <c r="AA161" s="145">
        <f>SUM(AA162)</f>
        <v>98446960</v>
      </c>
      <c r="AB161" s="207">
        <f t="shared" si="136"/>
        <v>0.98446959999999994</v>
      </c>
      <c r="AC161" s="145">
        <f>SUM(AC162)</f>
        <v>79318503</v>
      </c>
      <c r="AD161" s="1386">
        <f t="shared" si="137"/>
        <v>0.79318502999999996</v>
      </c>
      <c r="AE161" s="145">
        <f>SUM(AE162)</f>
        <v>19128457</v>
      </c>
      <c r="AF161" s="145">
        <f>SUM(AF162)</f>
        <v>0</v>
      </c>
      <c r="AG161" s="145">
        <f>SUM(AG162)</f>
        <v>0</v>
      </c>
      <c r="AH161" s="505" t="e">
        <f t="shared" si="138"/>
        <v>#DIV/0!</v>
      </c>
      <c r="AI161" s="145">
        <f t="shared" ref="AI161:AJ161" si="185">SUM(AI162)</f>
        <v>400000000</v>
      </c>
      <c r="AJ161" s="145">
        <f t="shared" si="185"/>
        <v>124146960</v>
      </c>
      <c r="AK161" s="1321">
        <f t="shared" si="139"/>
        <v>0.31036740000000002</v>
      </c>
      <c r="AL161" s="166"/>
      <c r="AM161" s="159"/>
      <c r="AN161" s="482"/>
      <c r="AO161" s="145"/>
      <c r="AP161" s="483"/>
      <c r="AQ161" s="101"/>
    </row>
    <row r="162" spans="1:43" ht="102" x14ac:dyDescent="0.25">
      <c r="A162" s="266" t="s">
        <v>617</v>
      </c>
      <c r="B162" s="1431" t="s">
        <v>799</v>
      </c>
      <c r="C162" s="1416">
        <v>24</v>
      </c>
      <c r="D162" s="1427">
        <v>24</v>
      </c>
      <c r="E162" s="1234">
        <v>0</v>
      </c>
      <c r="F162" s="1232">
        <v>24</v>
      </c>
      <c r="G162" s="1232">
        <v>12</v>
      </c>
      <c r="H162" s="167">
        <f t="shared" ref="H162" si="186">IF((E162+G162)/C162&gt;=100%,100%,(E162+G162)/C162)</f>
        <v>0.5</v>
      </c>
      <c r="I162" s="520">
        <f t="shared" ref="I162" si="187">IF(F162/D162&gt;=100%,100%,F162/D162)</f>
        <v>1</v>
      </c>
      <c r="J162" s="1418" t="s">
        <v>992</v>
      </c>
      <c r="K162" s="1418"/>
      <c r="L162" s="1236"/>
      <c r="M162" s="1237"/>
      <c r="N162" s="1238"/>
      <c r="O162" s="1418"/>
      <c r="P162" s="1418"/>
      <c r="Q162" s="1418"/>
      <c r="R162" s="1239"/>
      <c r="S162" s="1418"/>
      <c r="T162" s="1326">
        <v>24</v>
      </c>
      <c r="U162" s="1241">
        <f t="shared" ref="U162" si="188">SUM(E162:F162)</f>
        <v>24</v>
      </c>
      <c r="V162" s="170">
        <f t="shared" ref="V162" si="189">IF(U162/T162&gt;=100%,100%,U162/T162)</f>
        <v>1</v>
      </c>
      <c r="W162" s="1327">
        <v>1</v>
      </c>
      <c r="X162" s="395">
        <v>1</v>
      </c>
      <c r="Y162" s="473">
        <v>100000000</v>
      </c>
      <c r="Z162" s="284">
        <v>25700000</v>
      </c>
      <c r="AA162" s="1388">
        <v>98446960</v>
      </c>
      <c r="AB162" s="208">
        <f t="shared" si="136"/>
        <v>0.98446959999999994</v>
      </c>
      <c r="AC162" s="206">
        <v>79318503</v>
      </c>
      <c r="AD162" s="1389">
        <f t="shared" si="137"/>
        <v>0.79318502999999996</v>
      </c>
      <c r="AE162" s="1247">
        <f>+AA162-AC162</f>
        <v>19128457</v>
      </c>
      <c r="AF162" s="1388"/>
      <c r="AG162" s="1388"/>
      <c r="AH162" s="506" t="e">
        <f t="shared" si="138"/>
        <v>#DIV/0!</v>
      </c>
      <c r="AI162" s="1255">
        <v>400000000</v>
      </c>
      <c r="AJ162" s="1255">
        <f t="shared" ref="AJ162" si="190">+SUM(Z162:AA162)</f>
        <v>124146960</v>
      </c>
      <c r="AK162" s="1332">
        <f t="shared" si="139"/>
        <v>0.31036740000000002</v>
      </c>
      <c r="AL162" s="1330"/>
      <c r="AM162" s="1248"/>
      <c r="AN162" s="1249" t="s">
        <v>302</v>
      </c>
      <c r="AO162" s="1424" t="s">
        <v>895</v>
      </c>
      <c r="AP162" s="1250"/>
      <c r="AQ162" s="1251"/>
    </row>
    <row r="163" spans="1:43" x14ac:dyDescent="0.25">
      <c r="A163" s="241" t="s">
        <v>485</v>
      </c>
      <c r="B163" s="140"/>
      <c r="C163" s="141"/>
      <c r="D163" s="187"/>
      <c r="E163" s="181"/>
      <c r="F163" s="141"/>
      <c r="G163" s="141"/>
      <c r="H163" s="142">
        <f>+SUMPRODUCT(H164:H164,W164:W164)</f>
        <v>1</v>
      </c>
      <c r="I163" s="157">
        <f>+SUMPRODUCT(I164:I164,X164:X164)</f>
        <v>0</v>
      </c>
      <c r="J163" s="172"/>
      <c r="K163" s="172"/>
      <c r="L163" s="143"/>
      <c r="M163" s="144"/>
      <c r="N163" s="144"/>
      <c r="O163" s="172"/>
      <c r="P163" s="172"/>
      <c r="Q163" s="172"/>
      <c r="R163" s="158"/>
      <c r="S163" s="172"/>
      <c r="T163" s="193"/>
      <c r="U163" s="201"/>
      <c r="V163" s="165">
        <f>+SUMPRODUCT(V164:V164,W164:W164)</f>
        <v>0</v>
      </c>
      <c r="W163" s="142">
        <v>0.3</v>
      </c>
      <c r="X163" s="394">
        <v>0</v>
      </c>
      <c r="Y163" s="145">
        <f>SUM(Y164)</f>
        <v>0</v>
      </c>
      <c r="Z163" s="145">
        <f>SUM(Z164)</f>
        <v>350000000</v>
      </c>
      <c r="AA163" s="145">
        <f>SUM(AA164)</f>
        <v>0</v>
      </c>
      <c r="AB163" s="207" t="e">
        <f t="shared" si="136"/>
        <v>#DIV/0!</v>
      </c>
      <c r="AC163" s="145">
        <f>SUM(AC164)</f>
        <v>0</v>
      </c>
      <c r="AD163" s="588" t="e">
        <f t="shared" si="137"/>
        <v>#DIV/0!</v>
      </c>
      <c r="AE163" s="145">
        <f>SUM(AE164)</f>
        <v>0</v>
      </c>
      <c r="AF163" s="145">
        <f>SUM(AF164)</f>
        <v>350000000</v>
      </c>
      <c r="AG163" s="145">
        <f>SUM(AG164)</f>
        <v>259978348</v>
      </c>
      <c r="AH163" s="505">
        <f t="shared" si="138"/>
        <v>0.74279527999999995</v>
      </c>
      <c r="AI163" s="145">
        <f t="shared" ref="AI163:AJ163" si="191">SUM(AI164)</f>
        <v>1200000000</v>
      </c>
      <c r="AJ163" s="145">
        <f t="shared" si="191"/>
        <v>350000000</v>
      </c>
      <c r="AK163" s="1321">
        <f t="shared" si="139"/>
        <v>0.29166666666666669</v>
      </c>
      <c r="AL163" s="166"/>
      <c r="AM163" s="159"/>
      <c r="AN163" s="482"/>
      <c r="AO163" s="145"/>
      <c r="AP163" s="483"/>
      <c r="AQ163" s="101"/>
    </row>
    <row r="164" spans="1:43" ht="140.25" x14ac:dyDescent="0.25">
      <c r="A164" s="263" t="s">
        <v>618</v>
      </c>
      <c r="B164" s="353" t="s">
        <v>800</v>
      </c>
      <c r="C164" s="1416">
        <v>1</v>
      </c>
      <c r="D164" s="1417">
        <v>0</v>
      </c>
      <c r="E164" s="1234">
        <v>0</v>
      </c>
      <c r="F164" s="1232"/>
      <c r="G164" s="1232">
        <v>1</v>
      </c>
      <c r="H164" s="167">
        <f t="shared" ref="H164" si="192">IF((E164+G164)/C164&gt;=100%,100%,(E164+G164)/C164)</f>
        <v>1</v>
      </c>
      <c r="I164" s="520">
        <v>0</v>
      </c>
      <c r="J164" s="1418"/>
      <c r="K164" s="1418"/>
      <c r="L164" s="1236"/>
      <c r="M164" s="1237"/>
      <c r="N164" s="1238"/>
      <c r="O164" s="1418"/>
      <c r="P164" s="1418"/>
      <c r="Q164" s="1418"/>
      <c r="R164" s="1239"/>
      <c r="S164" s="1418"/>
      <c r="T164" s="1419">
        <v>3</v>
      </c>
      <c r="U164" s="1241">
        <f t="shared" ref="U164" si="193">SUM(E164:F164)</f>
        <v>0</v>
      </c>
      <c r="V164" s="170">
        <f t="shared" ref="V164" si="194">IF(U164/T164&gt;=100%,100%,U164/T164)</f>
        <v>0</v>
      </c>
      <c r="W164" s="1327">
        <v>1</v>
      </c>
      <c r="X164" s="395">
        <v>0</v>
      </c>
      <c r="Y164" s="1339">
        <v>0</v>
      </c>
      <c r="Z164" s="1432">
        <v>350000000</v>
      </c>
      <c r="AA164" s="1388"/>
      <c r="AB164" s="208" t="e">
        <f t="shared" si="136"/>
        <v>#DIV/0!</v>
      </c>
      <c r="AC164" s="206"/>
      <c r="AD164" s="1331" t="e">
        <f t="shared" si="137"/>
        <v>#DIV/0!</v>
      </c>
      <c r="AE164" s="1430"/>
      <c r="AF164" s="1388">
        <v>350000000</v>
      </c>
      <c r="AG164" s="1388">
        <v>259978348</v>
      </c>
      <c r="AH164" s="506">
        <f t="shared" si="138"/>
        <v>0.74279527999999995</v>
      </c>
      <c r="AI164" s="1255">
        <v>1200000000</v>
      </c>
      <c r="AJ164" s="1255">
        <f t="shared" ref="AJ164:AJ166" si="195">+SUM(Z164:AA164)</f>
        <v>350000000</v>
      </c>
      <c r="AK164" s="1332">
        <f t="shared" si="139"/>
        <v>0.29166666666666669</v>
      </c>
      <c r="AL164" s="1330"/>
      <c r="AM164" s="1248"/>
      <c r="AN164" s="1249" t="s">
        <v>302</v>
      </c>
      <c r="AO164" s="493" t="s">
        <v>919</v>
      </c>
      <c r="AP164" s="1250"/>
      <c r="AQ164" s="1251"/>
    </row>
    <row r="165" spans="1:43" x14ac:dyDescent="0.25">
      <c r="A165" s="241" t="s">
        <v>486</v>
      </c>
      <c r="B165" s="140"/>
      <c r="C165" s="141"/>
      <c r="D165" s="187"/>
      <c r="E165" s="181"/>
      <c r="F165" s="141"/>
      <c r="G165" s="141"/>
      <c r="H165" s="142">
        <v>0</v>
      </c>
      <c r="I165" s="157">
        <f>+SUMPRODUCT(I166:I166,X166:X166)</f>
        <v>1</v>
      </c>
      <c r="J165" s="172"/>
      <c r="K165" s="172"/>
      <c r="L165" s="143"/>
      <c r="M165" s="144"/>
      <c r="N165" s="144"/>
      <c r="O165" s="172"/>
      <c r="P165" s="172"/>
      <c r="Q165" s="172"/>
      <c r="R165" s="158"/>
      <c r="S165" s="172"/>
      <c r="T165" s="193"/>
      <c r="U165" s="201"/>
      <c r="V165" s="165">
        <f>+SUMPRODUCT(V166:V166,W166:W166)</f>
        <v>0.5</v>
      </c>
      <c r="W165" s="142">
        <v>0.15</v>
      </c>
      <c r="X165" s="394">
        <v>0.35</v>
      </c>
      <c r="Y165" s="145">
        <f>SUM(Y166)</f>
        <v>230000000</v>
      </c>
      <c r="Z165" s="145">
        <f>SUM(Z166)</f>
        <v>0</v>
      </c>
      <c r="AA165" s="145">
        <f>SUM(AA166)</f>
        <v>226428008</v>
      </c>
      <c r="AB165" s="207">
        <f t="shared" si="136"/>
        <v>0.98446959999999994</v>
      </c>
      <c r="AC165" s="145">
        <f>SUM(AC166)</f>
        <v>218621182</v>
      </c>
      <c r="AD165" s="1386">
        <f t="shared" si="137"/>
        <v>0.95052687826086957</v>
      </c>
      <c r="AE165" s="145">
        <f>SUM(AE166)</f>
        <v>7806826</v>
      </c>
      <c r="AF165" s="145">
        <f>SUM(AF166)</f>
        <v>0</v>
      </c>
      <c r="AG165" s="145">
        <f>SUM(AG166)</f>
        <v>0</v>
      </c>
      <c r="AH165" s="505" t="e">
        <f t="shared" si="138"/>
        <v>#DIV/0!</v>
      </c>
      <c r="AI165" s="145">
        <f t="shared" ref="AI165:AJ165" si="196">SUM(AI166)</f>
        <v>500000000</v>
      </c>
      <c r="AJ165" s="145">
        <f t="shared" si="196"/>
        <v>226428008</v>
      </c>
      <c r="AK165" s="1321">
        <f t="shared" si="139"/>
        <v>0.45285601599999997</v>
      </c>
      <c r="AL165" s="166"/>
      <c r="AM165" s="159"/>
      <c r="AN165" s="482"/>
      <c r="AO165" s="145"/>
      <c r="AP165" s="483"/>
      <c r="AQ165" s="101"/>
    </row>
    <row r="166" spans="1:43" ht="344.25" x14ac:dyDescent="0.25">
      <c r="A166" s="266" t="s">
        <v>619</v>
      </c>
      <c r="B166" s="1431" t="s">
        <v>801</v>
      </c>
      <c r="C166" s="1416">
        <v>0</v>
      </c>
      <c r="D166" s="1417">
        <v>1</v>
      </c>
      <c r="E166" s="1234">
        <v>0</v>
      </c>
      <c r="F166" s="1232">
        <v>1</v>
      </c>
      <c r="G166" s="1232"/>
      <c r="H166" s="167" t="e">
        <f t="shared" ref="H166" si="197">IF((E166+G166)/C166&gt;=100%,100%,(E166+G166)/C166)</f>
        <v>#DIV/0!</v>
      </c>
      <c r="I166" s="520">
        <f t="shared" ref="I166" si="198">IF(F166/D166&gt;=100%,100%,F166/D166)</f>
        <v>1</v>
      </c>
      <c r="J166" s="1418" t="s">
        <v>993</v>
      </c>
      <c r="K166" s="1418"/>
      <c r="L166" s="1236"/>
      <c r="M166" s="1237"/>
      <c r="N166" s="1238"/>
      <c r="O166" s="1418"/>
      <c r="P166" s="1418"/>
      <c r="Q166" s="1418"/>
      <c r="R166" s="1239"/>
      <c r="S166" s="1418"/>
      <c r="T166" s="1419">
        <v>2</v>
      </c>
      <c r="U166" s="1241">
        <f t="shared" ref="U166" si="199">SUM(E166:F166)</f>
        <v>1</v>
      </c>
      <c r="V166" s="170">
        <f t="shared" ref="V166" si="200">IF(U166/T166&gt;=100%,100%,U166/T166)</f>
        <v>0.5</v>
      </c>
      <c r="W166" s="1327">
        <v>1</v>
      </c>
      <c r="X166" s="395">
        <v>1</v>
      </c>
      <c r="Y166" s="473">
        <v>230000000</v>
      </c>
      <c r="Z166" s="1432">
        <v>0</v>
      </c>
      <c r="AA166" s="1388">
        <v>226428008</v>
      </c>
      <c r="AB166" s="208">
        <f t="shared" si="136"/>
        <v>0.98446959999999994</v>
      </c>
      <c r="AC166" s="206">
        <v>218621182</v>
      </c>
      <c r="AD166" s="1389">
        <f t="shared" si="137"/>
        <v>0.95052687826086957</v>
      </c>
      <c r="AE166" s="1247">
        <f>+AA166-AC166</f>
        <v>7806826</v>
      </c>
      <c r="AF166" s="1388"/>
      <c r="AG166" s="1388"/>
      <c r="AH166" s="506" t="e">
        <f t="shared" si="138"/>
        <v>#DIV/0!</v>
      </c>
      <c r="AI166" s="1255">
        <v>500000000</v>
      </c>
      <c r="AJ166" s="1255">
        <f t="shared" si="195"/>
        <v>226428008</v>
      </c>
      <c r="AK166" s="1332">
        <f t="shared" si="139"/>
        <v>0.45285601599999997</v>
      </c>
      <c r="AL166" s="1330"/>
      <c r="AM166" s="1248"/>
      <c r="AN166" s="1249" t="s">
        <v>302</v>
      </c>
      <c r="AO166" s="1433" t="s">
        <v>895</v>
      </c>
      <c r="AP166" s="1250"/>
      <c r="AQ166" s="1251"/>
    </row>
    <row r="167" spans="1:43" ht="38.25" x14ac:dyDescent="0.25">
      <c r="A167" s="1201" t="s">
        <v>439</v>
      </c>
      <c r="B167" s="1202"/>
      <c r="C167" s="1203"/>
      <c r="D167" s="1204"/>
      <c r="E167" s="1205"/>
      <c r="F167" s="1203"/>
      <c r="G167" s="1203"/>
      <c r="H167" s="1206">
        <f>+(H168*45%)+(H176*5%)+(H178*20%)+(H183*30%)</f>
        <v>0.89124999999999988</v>
      </c>
      <c r="I167" s="1260">
        <f>+(I168*X168)+(I176*X176)+(I178*X178)+(I183*X183)</f>
        <v>0.44049565217391307</v>
      </c>
      <c r="J167" s="1413"/>
      <c r="K167" s="1413"/>
      <c r="L167" s="1207"/>
      <c r="M167" s="1208"/>
      <c r="N167" s="1208"/>
      <c r="O167" s="1413"/>
      <c r="P167" s="1413"/>
      <c r="Q167" s="1413"/>
      <c r="R167" s="1310"/>
      <c r="S167" s="1413"/>
      <c r="T167" s="1414"/>
      <c r="U167" s="1211"/>
      <c r="V167" s="1212">
        <f>+(V168*W168)+(V176*W176)+(V178*W178)+(V183*W183)</f>
        <v>0.46205357142857145</v>
      </c>
      <c r="W167" s="1213">
        <v>0.2</v>
      </c>
      <c r="X167" s="1214">
        <v>0.24</v>
      </c>
      <c r="Y167" s="1215">
        <f>+Y168+Y176+Y178+Y183</f>
        <v>2442500000</v>
      </c>
      <c r="Z167" s="1215">
        <f>+Z168+Z176+Z178+Z183</f>
        <v>244410750</v>
      </c>
      <c r="AA167" s="1215">
        <f>+AA168+AA176+AA178+AA183</f>
        <v>1958456348.9400001</v>
      </c>
      <c r="AB167" s="1216">
        <f t="shared" si="136"/>
        <v>0.80182450314841358</v>
      </c>
      <c r="AC167" s="1215">
        <f>+AC168+AC176+AC178+AC183</f>
        <v>1037690522.3</v>
      </c>
      <c r="AD167" s="1434">
        <f t="shared" si="137"/>
        <v>0.42484770616171952</v>
      </c>
      <c r="AE167" s="1215">
        <f>+AE168+AE176+AE178+AE183</f>
        <v>920765826.63999999</v>
      </c>
      <c r="AF167" s="1215">
        <f>+AF168+AF176+AF178+AF183</f>
        <v>97500000</v>
      </c>
      <c r="AG167" s="1215">
        <f>+AG168+AG176+AG178+AG183</f>
        <v>87000000</v>
      </c>
      <c r="AH167" s="1219">
        <f t="shared" si="138"/>
        <v>0.89230769230769236</v>
      </c>
      <c r="AI167" s="1215">
        <f t="shared" ref="AI167:AJ167" si="201">+AI168+AI176+AI178+AI183</f>
        <v>7290000000</v>
      </c>
      <c r="AJ167" s="1215">
        <f t="shared" si="201"/>
        <v>2202867098.9400001</v>
      </c>
      <c r="AK167" s="209">
        <f t="shared" si="139"/>
        <v>0.30217655678189304</v>
      </c>
      <c r="AL167" s="161"/>
      <c r="AM167" s="1221" t="s">
        <v>293</v>
      </c>
      <c r="AN167" s="1222"/>
      <c r="AO167" s="1215"/>
      <c r="AP167" s="1223"/>
      <c r="AQ167" s="1224"/>
    </row>
    <row r="168" spans="1:43" x14ac:dyDescent="0.25">
      <c r="A168" s="241" t="s">
        <v>487</v>
      </c>
      <c r="B168" s="140"/>
      <c r="C168" s="141"/>
      <c r="D168" s="187"/>
      <c r="E168" s="181"/>
      <c r="F168" s="141"/>
      <c r="G168" s="141"/>
      <c r="H168" s="142">
        <f>+(H169*50%)+(H171*10%)+(H173*40%)</f>
        <v>0.82499999999999996</v>
      </c>
      <c r="I168" s="157">
        <f>+SUMPRODUCT(I169:I175,X169:X175)</f>
        <v>0.60400000000000009</v>
      </c>
      <c r="J168" s="172"/>
      <c r="K168" s="172"/>
      <c r="L168" s="143"/>
      <c r="M168" s="144"/>
      <c r="N168" s="144"/>
      <c r="O168" s="172"/>
      <c r="P168" s="172"/>
      <c r="Q168" s="172"/>
      <c r="R168" s="158"/>
      <c r="S168" s="172"/>
      <c r="T168" s="193"/>
      <c r="U168" s="201"/>
      <c r="V168" s="165">
        <f>+SUMPRODUCT(V169:V175,W169:W175)</f>
        <v>0.71250000000000002</v>
      </c>
      <c r="W168" s="142">
        <v>0.45</v>
      </c>
      <c r="X168" s="394">
        <v>0.45</v>
      </c>
      <c r="Y168" s="145">
        <f>SUM(Y169:Y175)</f>
        <v>877500000</v>
      </c>
      <c r="Z168" s="145">
        <f>SUM(Z169:Z175)</f>
        <v>117660750</v>
      </c>
      <c r="AA168" s="145">
        <f>SUM(AA169:AA175)</f>
        <v>482298283.94</v>
      </c>
      <c r="AB168" s="207">
        <f t="shared" si="136"/>
        <v>0.54962767400569801</v>
      </c>
      <c r="AC168" s="145">
        <f>SUM(AC169:AC175)</f>
        <v>306420659.30000001</v>
      </c>
      <c r="AD168" s="588">
        <f t="shared" si="137"/>
        <v>0.34919733253561253</v>
      </c>
      <c r="AE168" s="145">
        <f>SUM(AE169:AE175)</f>
        <v>175877624.63999999</v>
      </c>
      <c r="AF168" s="145">
        <f>SUM(AF169:AF175)</f>
        <v>51350000</v>
      </c>
      <c r="AG168" s="145">
        <f>SUM(AG169:AG175)</f>
        <v>47850000</v>
      </c>
      <c r="AH168" s="505">
        <f t="shared" si="138"/>
        <v>0.93184031158714709</v>
      </c>
      <c r="AI168" s="145">
        <f t="shared" ref="AI168:AJ168" si="202">SUM(AI169:AI175)</f>
        <v>3445000000</v>
      </c>
      <c r="AJ168" s="145">
        <f t="shared" si="202"/>
        <v>599959033.94000006</v>
      </c>
      <c r="AK168" s="1321">
        <f t="shared" si="139"/>
        <v>0.17415356573004356</v>
      </c>
      <c r="AL168" s="166"/>
      <c r="AM168" s="159"/>
      <c r="AN168" s="482"/>
      <c r="AO168" s="145"/>
      <c r="AP168" s="483"/>
      <c r="AQ168" s="101"/>
    </row>
    <row r="169" spans="1:43" ht="102" x14ac:dyDescent="0.25">
      <c r="A169" s="264" t="s">
        <v>620</v>
      </c>
      <c r="B169" s="352" t="s">
        <v>880</v>
      </c>
      <c r="C169" s="380">
        <v>8</v>
      </c>
      <c r="D169" s="313">
        <v>8</v>
      </c>
      <c r="E169" s="1234">
        <v>6</v>
      </c>
      <c r="F169" s="1232">
        <v>6</v>
      </c>
      <c r="G169" s="1232"/>
      <c r="H169" s="167">
        <f t="shared" ref="H169:H175" si="203">IF((E169+G169)/C169&gt;=100%,100%,(E169+G169)/C169)</f>
        <v>0.75</v>
      </c>
      <c r="I169" s="520">
        <f t="shared" ref="I169:I175" si="204">IF(F169/D169&gt;=100%,100%,F169/D169)</f>
        <v>0.75</v>
      </c>
      <c r="J169" s="1418" t="s">
        <v>994</v>
      </c>
      <c r="K169" s="1418"/>
      <c r="L169" s="1236"/>
      <c r="M169" s="1237"/>
      <c r="N169" s="1238"/>
      <c r="O169" s="1418"/>
      <c r="P169" s="1418"/>
      <c r="Q169" s="1418"/>
      <c r="R169" s="1239"/>
      <c r="S169" s="1418"/>
      <c r="T169" s="1419">
        <v>8</v>
      </c>
      <c r="U169" s="1241">
        <f t="shared" ref="U169" si="205">SUM(E169:F169)</f>
        <v>12</v>
      </c>
      <c r="V169" s="170">
        <f t="shared" ref="V169:V175" si="206">IF(U169/T169&gt;=100%,100%,U169/T169)</f>
        <v>1</v>
      </c>
      <c r="W169" s="414">
        <v>0.4</v>
      </c>
      <c r="X169" s="395">
        <v>0.5</v>
      </c>
      <c r="Y169" s="472">
        <v>360000000</v>
      </c>
      <c r="Z169" s="286" t="s">
        <v>892</v>
      </c>
      <c r="AA169" s="1388">
        <v>56419087.380000003</v>
      </c>
      <c r="AB169" s="208">
        <f t="shared" si="136"/>
        <v>0.15671968716666668</v>
      </c>
      <c r="AC169" s="206">
        <v>36245937.740000002</v>
      </c>
      <c r="AD169" s="1331">
        <f t="shared" si="137"/>
        <v>0.1006831603888889</v>
      </c>
      <c r="AE169" s="1247">
        <f>+AA169-AC169</f>
        <v>20173149.640000001</v>
      </c>
      <c r="AF169" s="1388"/>
      <c r="AG169" s="1388"/>
      <c r="AH169" s="506" t="e">
        <f t="shared" si="138"/>
        <v>#DIV/0!</v>
      </c>
      <c r="AI169" s="1255">
        <v>1520000000</v>
      </c>
      <c r="AJ169" s="1255">
        <f t="shared" ref="AJ169:AJ175" si="207">+SUM(Z169:AA169)</f>
        <v>56419087.380000003</v>
      </c>
      <c r="AK169" s="1332">
        <f t="shared" si="139"/>
        <v>3.7117820644736843E-2</v>
      </c>
      <c r="AL169" s="1330"/>
      <c r="AM169" s="1248"/>
      <c r="AN169" s="1249" t="s">
        <v>28</v>
      </c>
      <c r="AO169" s="1886" t="s">
        <v>920</v>
      </c>
      <c r="AP169" s="1250"/>
      <c r="AQ169" s="1251"/>
    </row>
    <row r="170" spans="1:43" ht="38.25" x14ac:dyDescent="0.25">
      <c r="A170" s="264" t="s">
        <v>621</v>
      </c>
      <c r="B170" s="352" t="s">
        <v>882</v>
      </c>
      <c r="C170" s="380">
        <v>0</v>
      </c>
      <c r="D170" s="313">
        <v>0</v>
      </c>
      <c r="E170" s="1234">
        <v>0</v>
      </c>
      <c r="F170" s="1232"/>
      <c r="G170" s="1232"/>
      <c r="H170" s="167" t="e">
        <f t="shared" si="203"/>
        <v>#DIV/0!</v>
      </c>
      <c r="I170" s="520">
        <v>0</v>
      </c>
      <c r="J170" s="1418"/>
      <c r="K170" s="1418"/>
      <c r="L170" s="1236"/>
      <c r="M170" s="1237"/>
      <c r="N170" s="1238"/>
      <c r="O170" s="1418"/>
      <c r="P170" s="1418"/>
      <c r="Q170" s="1418"/>
      <c r="R170" s="1239"/>
      <c r="S170" s="1418"/>
      <c r="T170" s="1419">
        <v>1</v>
      </c>
      <c r="U170" s="1241">
        <f t="shared" ref="U170:U175" si="208">SUM(E170:F170)</f>
        <v>0</v>
      </c>
      <c r="V170" s="170">
        <f t="shared" si="206"/>
        <v>0</v>
      </c>
      <c r="W170" s="414">
        <v>0.05</v>
      </c>
      <c r="X170" s="395">
        <v>0</v>
      </c>
      <c r="Y170" s="476" t="s">
        <v>892</v>
      </c>
      <c r="Z170" s="286" t="s">
        <v>892</v>
      </c>
      <c r="AA170" s="1388"/>
      <c r="AB170" s="208" t="e">
        <f t="shared" si="136"/>
        <v>#DIV/0!</v>
      </c>
      <c r="AC170" s="206"/>
      <c r="AD170" s="1331" t="e">
        <f t="shared" si="137"/>
        <v>#DIV/0!</v>
      </c>
      <c r="AE170" s="1430"/>
      <c r="AF170" s="1388"/>
      <c r="AG170" s="1388"/>
      <c r="AH170" s="506" t="e">
        <f t="shared" si="138"/>
        <v>#DIV/0!</v>
      </c>
      <c r="AI170" s="1255">
        <v>120000000</v>
      </c>
      <c r="AJ170" s="1255">
        <f t="shared" si="207"/>
        <v>0</v>
      </c>
      <c r="AK170" s="1332">
        <f t="shared" si="139"/>
        <v>0</v>
      </c>
      <c r="AL170" s="1330"/>
      <c r="AM170" s="1248"/>
      <c r="AN170" s="1249" t="s">
        <v>302</v>
      </c>
      <c r="AO170" s="1874"/>
      <c r="AP170" s="1250"/>
      <c r="AQ170" s="1251"/>
    </row>
    <row r="171" spans="1:43" ht="140.25" x14ac:dyDescent="0.25">
      <c r="A171" s="264" t="s">
        <v>622</v>
      </c>
      <c r="B171" s="352" t="s">
        <v>881</v>
      </c>
      <c r="C171" s="380">
        <v>6</v>
      </c>
      <c r="D171" s="313">
        <v>12</v>
      </c>
      <c r="E171" s="1234">
        <v>0</v>
      </c>
      <c r="F171" s="1232">
        <v>3</v>
      </c>
      <c r="G171" s="1232">
        <v>3</v>
      </c>
      <c r="H171" s="167">
        <f t="shared" si="203"/>
        <v>0.5</v>
      </c>
      <c r="I171" s="520">
        <f t="shared" si="204"/>
        <v>0.25</v>
      </c>
      <c r="J171" s="1418" t="s">
        <v>995</v>
      </c>
      <c r="K171" s="1418"/>
      <c r="L171" s="1236"/>
      <c r="M171" s="1237"/>
      <c r="N171" s="1238"/>
      <c r="O171" s="1418"/>
      <c r="P171" s="1418"/>
      <c r="Q171" s="1418"/>
      <c r="R171" s="1239"/>
      <c r="S171" s="1418"/>
      <c r="T171" s="1419">
        <v>12</v>
      </c>
      <c r="U171" s="1241">
        <f t="shared" si="208"/>
        <v>3</v>
      </c>
      <c r="V171" s="170">
        <f t="shared" si="206"/>
        <v>0.25</v>
      </c>
      <c r="W171" s="414">
        <v>0.05</v>
      </c>
      <c r="X171" s="395">
        <v>0.1</v>
      </c>
      <c r="Y171" s="472">
        <v>25000000</v>
      </c>
      <c r="Z171" s="283">
        <v>18610750</v>
      </c>
      <c r="AA171" s="1388">
        <v>14689393</v>
      </c>
      <c r="AB171" s="208">
        <f t="shared" si="136"/>
        <v>0.58757572000000002</v>
      </c>
      <c r="AC171" s="206">
        <v>1001842</v>
      </c>
      <c r="AD171" s="1331">
        <f t="shared" si="137"/>
        <v>4.007368E-2</v>
      </c>
      <c r="AE171" s="1247">
        <f>+AA171-AC171</f>
        <v>13687551</v>
      </c>
      <c r="AF171" s="1388"/>
      <c r="AG171" s="1388"/>
      <c r="AH171" s="506" t="e">
        <f t="shared" si="138"/>
        <v>#DIV/0!</v>
      </c>
      <c r="AI171" s="1255">
        <v>100000000</v>
      </c>
      <c r="AJ171" s="1255">
        <f t="shared" si="207"/>
        <v>33300143</v>
      </c>
      <c r="AK171" s="1332">
        <f t="shared" si="139"/>
        <v>0.33300142999999999</v>
      </c>
      <c r="AL171" s="1330"/>
      <c r="AM171" s="1248"/>
      <c r="AN171" s="1249" t="s">
        <v>29</v>
      </c>
      <c r="AO171" s="1874"/>
      <c r="AP171" s="1250"/>
      <c r="AQ171" s="1251"/>
    </row>
    <row r="172" spans="1:43" ht="127.5" x14ac:dyDescent="0.25">
      <c r="A172" s="264" t="s">
        <v>623</v>
      </c>
      <c r="B172" s="1435" t="s">
        <v>802</v>
      </c>
      <c r="C172" s="380">
        <v>0</v>
      </c>
      <c r="D172" s="313">
        <v>1</v>
      </c>
      <c r="E172" s="1234">
        <v>0</v>
      </c>
      <c r="F172" s="1232">
        <v>0</v>
      </c>
      <c r="G172" s="1232"/>
      <c r="H172" s="167" t="e">
        <f t="shared" si="203"/>
        <v>#DIV/0!</v>
      </c>
      <c r="I172" s="520">
        <f t="shared" si="204"/>
        <v>0</v>
      </c>
      <c r="J172" s="1418" t="s">
        <v>996</v>
      </c>
      <c r="K172" s="1418"/>
      <c r="L172" s="1236"/>
      <c r="M172" s="1237"/>
      <c r="N172" s="1238"/>
      <c r="O172" s="1418"/>
      <c r="P172" s="1418"/>
      <c r="Q172" s="1418"/>
      <c r="R172" s="1239"/>
      <c r="S172" s="1418"/>
      <c r="T172" s="1419">
        <v>2</v>
      </c>
      <c r="U172" s="1241">
        <f t="shared" si="208"/>
        <v>0</v>
      </c>
      <c r="V172" s="170">
        <f t="shared" si="206"/>
        <v>0</v>
      </c>
      <c r="W172" s="415">
        <v>0.05</v>
      </c>
      <c r="X172" s="395">
        <v>0.05</v>
      </c>
      <c r="Y172" s="477">
        <v>92500000</v>
      </c>
      <c r="Z172" s="286" t="s">
        <v>892</v>
      </c>
      <c r="AA172" s="1388">
        <v>41975169</v>
      </c>
      <c r="AB172" s="208">
        <f t="shared" si="136"/>
        <v>0.45378561081081081</v>
      </c>
      <c r="AC172" s="206">
        <v>16120695</v>
      </c>
      <c r="AD172" s="1331">
        <f t="shared" si="137"/>
        <v>0.17427778378378378</v>
      </c>
      <c r="AE172" s="1247">
        <f>+AA172-AC172</f>
        <v>25854474</v>
      </c>
      <c r="AF172" s="1388"/>
      <c r="AG172" s="1388"/>
      <c r="AH172" s="506" t="e">
        <f t="shared" si="138"/>
        <v>#DIV/0!</v>
      </c>
      <c r="AI172" s="1255">
        <v>185000000</v>
      </c>
      <c r="AJ172" s="1255">
        <f t="shared" si="207"/>
        <v>41975169</v>
      </c>
      <c r="AK172" s="1332">
        <f t="shared" si="139"/>
        <v>0.22689280540540541</v>
      </c>
      <c r="AL172" s="1330"/>
      <c r="AM172" s="1248"/>
      <c r="AN172" s="1249" t="s">
        <v>302</v>
      </c>
      <c r="AO172" s="1870"/>
      <c r="AP172" s="1250"/>
      <c r="AQ172" s="1251"/>
    </row>
    <row r="173" spans="1:43" ht="76.5" x14ac:dyDescent="0.25">
      <c r="A173" s="264" t="s">
        <v>624</v>
      </c>
      <c r="B173" s="351" t="s">
        <v>803</v>
      </c>
      <c r="C173" s="381">
        <v>1</v>
      </c>
      <c r="D173" s="314">
        <v>1</v>
      </c>
      <c r="E173" s="225">
        <v>1</v>
      </c>
      <c r="F173" s="169">
        <v>0.68</v>
      </c>
      <c r="G173" s="1232"/>
      <c r="H173" s="167">
        <f t="shared" si="203"/>
        <v>1</v>
      </c>
      <c r="I173" s="520">
        <f t="shared" si="204"/>
        <v>0.68</v>
      </c>
      <c r="J173" s="1418" t="s">
        <v>997</v>
      </c>
      <c r="K173" s="1418"/>
      <c r="L173" s="1236"/>
      <c r="M173" s="1237"/>
      <c r="N173" s="1238"/>
      <c r="O173" s="1418"/>
      <c r="P173" s="1418"/>
      <c r="Q173" s="1418"/>
      <c r="R173" s="1239"/>
      <c r="S173" s="1418"/>
      <c r="T173" s="179">
        <v>1</v>
      </c>
      <c r="U173" s="1241">
        <f t="shared" si="208"/>
        <v>1.6800000000000002</v>
      </c>
      <c r="V173" s="170">
        <f t="shared" si="206"/>
        <v>1</v>
      </c>
      <c r="W173" s="416">
        <v>0.3</v>
      </c>
      <c r="X173" s="395">
        <v>0.3</v>
      </c>
      <c r="Y173" s="472">
        <v>280000000</v>
      </c>
      <c r="Z173" s="283">
        <v>99050000</v>
      </c>
      <c r="AA173" s="1388">
        <v>249214635</v>
      </c>
      <c r="AB173" s="208">
        <f t="shared" si="136"/>
        <v>0.89005226785714286</v>
      </c>
      <c r="AC173" s="206">
        <v>239684150</v>
      </c>
      <c r="AD173" s="1389">
        <f t="shared" si="137"/>
        <v>0.85601482142857144</v>
      </c>
      <c r="AE173" s="1247">
        <f>+AA173-AC173</f>
        <v>9530485</v>
      </c>
      <c r="AF173" s="1388">
        <v>51350000</v>
      </c>
      <c r="AG173" s="1388">
        <v>47850000</v>
      </c>
      <c r="AH173" s="506">
        <f t="shared" si="138"/>
        <v>0.93184031158714709</v>
      </c>
      <c r="AI173" s="1255">
        <v>1000000000</v>
      </c>
      <c r="AJ173" s="1255">
        <f t="shared" si="207"/>
        <v>348264635</v>
      </c>
      <c r="AK173" s="1332">
        <f t="shared" si="139"/>
        <v>0.34826463499999999</v>
      </c>
      <c r="AL173" s="1330"/>
      <c r="AM173" s="1248"/>
      <c r="AN173" s="1249" t="s">
        <v>302</v>
      </c>
      <c r="AO173" s="492" t="s">
        <v>920</v>
      </c>
      <c r="AP173" s="1250"/>
      <c r="AQ173" s="1251"/>
    </row>
    <row r="174" spans="1:43" ht="382.5" x14ac:dyDescent="0.25">
      <c r="A174" s="264" t="s">
        <v>625</v>
      </c>
      <c r="B174" s="355" t="s">
        <v>804</v>
      </c>
      <c r="C174" s="380">
        <v>0</v>
      </c>
      <c r="D174" s="313">
        <v>0</v>
      </c>
      <c r="E174" s="1234">
        <v>0</v>
      </c>
      <c r="F174" s="1232"/>
      <c r="G174" s="1232"/>
      <c r="H174" s="167" t="e">
        <f t="shared" si="203"/>
        <v>#DIV/0!</v>
      </c>
      <c r="I174" s="520">
        <v>0</v>
      </c>
      <c r="J174" s="1418"/>
      <c r="K174" s="1418"/>
      <c r="L174" s="1236"/>
      <c r="M174" s="1237"/>
      <c r="N174" s="1238"/>
      <c r="O174" s="1418"/>
      <c r="P174" s="1418"/>
      <c r="Q174" s="1418"/>
      <c r="R174" s="1239"/>
      <c r="S174" s="1418"/>
      <c r="T174" s="1419">
        <v>1</v>
      </c>
      <c r="U174" s="1241">
        <f t="shared" si="208"/>
        <v>0</v>
      </c>
      <c r="V174" s="170">
        <f t="shared" si="206"/>
        <v>0</v>
      </c>
      <c r="W174" s="416">
        <v>0.1</v>
      </c>
      <c r="X174" s="395">
        <v>0</v>
      </c>
      <c r="Y174" s="476" t="s">
        <v>892</v>
      </c>
      <c r="Z174" s="286" t="s">
        <v>892</v>
      </c>
      <c r="AA174" s="1388"/>
      <c r="AB174" s="208" t="e">
        <f t="shared" si="136"/>
        <v>#DIV/0!</v>
      </c>
      <c r="AC174" s="206"/>
      <c r="AD174" s="1331" t="e">
        <f t="shared" si="137"/>
        <v>#DIV/0!</v>
      </c>
      <c r="AE174" s="1430"/>
      <c r="AF174" s="1388"/>
      <c r="AG174" s="1388"/>
      <c r="AH174" s="506" t="e">
        <f t="shared" si="138"/>
        <v>#DIV/0!</v>
      </c>
      <c r="AI174" s="1255">
        <v>400000000</v>
      </c>
      <c r="AJ174" s="1255">
        <f t="shared" si="207"/>
        <v>0</v>
      </c>
      <c r="AK174" s="1332">
        <f t="shared" si="139"/>
        <v>0</v>
      </c>
      <c r="AL174" s="1330"/>
      <c r="AM174" s="1248"/>
      <c r="AN174" s="1249" t="s">
        <v>302</v>
      </c>
      <c r="AO174" s="492" t="s">
        <v>921</v>
      </c>
      <c r="AP174" s="1250"/>
      <c r="AQ174" s="1251"/>
    </row>
    <row r="175" spans="1:43" ht="102" x14ac:dyDescent="0.25">
      <c r="A175" s="264" t="s">
        <v>626</v>
      </c>
      <c r="B175" s="355" t="s">
        <v>805</v>
      </c>
      <c r="C175" s="380">
        <v>0</v>
      </c>
      <c r="D175" s="313">
        <v>1</v>
      </c>
      <c r="E175" s="1234">
        <v>0</v>
      </c>
      <c r="F175" s="1232">
        <v>0</v>
      </c>
      <c r="G175" s="1232"/>
      <c r="H175" s="167" t="e">
        <f t="shared" si="203"/>
        <v>#DIV/0!</v>
      </c>
      <c r="I175" s="520">
        <f t="shared" si="204"/>
        <v>0</v>
      </c>
      <c r="J175" s="1418" t="s">
        <v>998</v>
      </c>
      <c r="K175" s="1418"/>
      <c r="L175" s="1236"/>
      <c r="M175" s="1237"/>
      <c r="N175" s="1238"/>
      <c r="O175" s="1418"/>
      <c r="P175" s="1418"/>
      <c r="Q175" s="1418"/>
      <c r="R175" s="1239"/>
      <c r="S175" s="1418"/>
      <c r="T175" s="1419">
        <v>1</v>
      </c>
      <c r="U175" s="1241">
        <f t="shared" si="208"/>
        <v>0</v>
      </c>
      <c r="V175" s="170">
        <f t="shared" si="206"/>
        <v>0</v>
      </c>
      <c r="W175" s="416">
        <v>0.05</v>
      </c>
      <c r="X175" s="395">
        <v>0.05</v>
      </c>
      <c r="Y175" s="477">
        <v>120000000</v>
      </c>
      <c r="Z175" s="286" t="s">
        <v>892</v>
      </c>
      <c r="AA175" s="1388">
        <v>119999999.56</v>
      </c>
      <c r="AB175" s="208">
        <f t="shared" si="136"/>
        <v>0.99999999633333336</v>
      </c>
      <c r="AC175" s="206">
        <v>13368034.560000001</v>
      </c>
      <c r="AD175" s="1331">
        <f t="shared" si="137"/>
        <v>0.111400288</v>
      </c>
      <c r="AE175" s="1247">
        <f>+AA175-AC175</f>
        <v>106631965</v>
      </c>
      <c r="AF175" s="1388"/>
      <c r="AG175" s="1388"/>
      <c r="AH175" s="506" t="e">
        <f t="shared" si="138"/>
        <v>#DIV/0!</v>
      </c>
      <c r="AI175" s="1255">
        <v>120000000</v>
      </c>
      <c r="AJ175" s="1255">
        <f t="shared" si="207"/>
        <v>119999999.56</v>
      </c>
      <c r="AK175" s="1390">
        <f t="shared" si="139"/>
        <v>0.99999999633333336</v>
      </c>
      <c r="AL175" s="1330"/>
      <c r="AM175" s="1248"/>
      <c r="AN175" s="1249" t="s">
        <v>302</v>
      </c>
      <c r="AO175" s="492" t="s">
        <v>920</v>
      </c>
      <c r="AP175" s="1250"/>
      <c r="AQ175" s="1251"/>
    </row>
    <row r="176" spans="1:43" x14ac:dyDescent="0.25">
      <c r="A176" s="241" t="s">
        <v>488</v>
      </c>
      <c r="B176" s="140"/>
      <c r="C176" s="141"/>
      <c r="D176" s="187"/>
      <c r="E176" s="181"/>
      <c r="F176" s="141"/>
      <c r="G176" s="141"/>
      <c r="H176" s="142">
        <f>+SUMPRODUCT(H177:H177,W177:W177)</f>
        <v>1</v>
      </c>
      <c r="I176" s="157">
        <f>+SUMPRODUCT(I177:I177,X177:X177)</f>
        <v>1</v>
      </c>
      <c r="J176" s="172"/>
      <c r="K176" s="172"/>
      <c r="L176" s="143"/>
      <c r="M176" s="144"/>
      <c r="N176" s="144"/>
      <c r="O176" s="172"/>
      <c r="P176" s="172"/>
      <c r="Q176" s="172"/>
      <c r="R176" s="158"/>
      <c r="S176" s="172"/>
      <c r="T176" s="193"/>
      <c r="U176" s="201"/>
      <c r="V176" s="165">
        <f>+SUMPRODUCT(V177:V177,W177:W177)</f>
        <v>0.42857142857142855</v>
      </c>
      <c r="W176" s="142">
        <v>0.05</v>
      </c>
      <c r="X176" s="394">
        <v>0.05</v>
      </c>
      <c r="Y176" s="145">
        <f>SUM(Y177)</f>
        <v>40000000</v>
      </c>
      <c r="Z176" s="145">
        <f>SUM(Z177)</f>
        <v>10500000</v>
      </c>
      <c r="AA176" s="145">
        <f>SUM(AA177)</f>
        <v>36578787</v>
      </c>
      <c r="AB176" s="207">
        <f t="shared" si="136"/>
        <v>0.91446967499999998</v>
      </c>
      <c r="AC176" s="145">
        <f>SUM(AC177)</f>
        <v>29603684</v>
      </c>
      <c r="AD176" s="1386">
        <f t="shared" si="137"/>
        <v>0.74009210000000003</v>
      </c>
      <c r="AE176" s="145">
        <f>SUM(AE177)</f>
        <v>6975103</v>
      </c>
      <c r="AF176" s="145">
        <f>SUM(AF177)</f>
        <v>6300000</v>
      </c>
      <c r="AG176" s="145">
        <f>SUM(AG177)</f>
        <v>6300000</v>
      </c>
      <c r="AH176" s="505">
        <f t="shared" si="138"/>
        <v>1</v>
      </c>
      <c r="AI176" s="145">
        <f t="shared" ref="AI176:AJ176" si="209">SUM(AI177)</f>
        <v>140000000</v>
      </c>
      <c r="AJ176" s="145">
        <f t="shared" si="209"/>
        <v>47078787</v>
      </c>
      <c r="AK176" s="1321">
        <f t="shared" si="139"/>
        <v>0.33627705000000002</v>
      </c>
      <c r="AL176" s="166"/>
      <c r="AM176" s="159"/>
      <c r="AN176" s="482"/>
      <c r="AO176" s="145"/>
      <c r="AP176" s="483"/>
      <c r="AQ176" s="101"/>
    </row>
    <row r="177" spans="1:43" ht="76.5" x14ac:dyDescent="0.25">
      <c r="A177" s="266" t="s">
        <v>627</v>
      </c>
      <c r="B177" s="356" t="s">
        <v>806</v>
      </c>
      <c r="C177" s="1416">
        <v>1</v>
      </c>
      <c r="D177" s="1417">
        <v>2</v>
      </c>
      <c r="E177" s="1234">
        <v>1</v>
      </c>
      <c r="F177" s="1232">
        <v>2</v>
      </c>
      <c r="G177" s="1232"/>
      <c r="H177" s="167">
        <f t="shared" ref="H177" si="210">IF((E177+G177)/C177&gt;=100%,100%,(E177+G177)/C177)</f>
        <v>1</v>
      </c>
      <c r="I177" s="520">
        <f t="shared" ref="I177" si="211">IF(F177/D177&gt;=100%,100%,F177/D177)</f>
        <v>1</v>
      </c>
      <c r="J177" s="1418" t="s">
        <v>999</v>
      </c>
      <c r="K177" s="1418"/>
      <c r="L177" s="1236"/>
      <c r="M177" s="1237"/>
      <c r="N177" s="1238"/>
      <c r="O177" s="1418"/>
      <c r="P177" s="1418"/>
      <c r="Q177" s="1418"/>
      <c r="R177" s="1239"/>
      <c r="S177" s="1418"/>
      <c r="T177" s="1419">
        <v>7</v>
      </c>
      <c r="U177" s="1241">
        <f t="shared" ref="U177" si="212">SUM(E177:F177)</f>
        <v>3</v>
      </c>
      <c r="V177" s="170">
        <f t="shared" ref="V177" si="213">IF(U177/T177&gt;=100%,100%,U177/T177)</f>
        <v>0.42857142857142855</v>
      </c>
      <c r="W177" s="1327">
        <v>1</v>
      </c>
      <c r="X177" s="395">
        <v>1</v>
      </c>
      <c r="Y177" s="473">
        <v>40000000</v>
      </c>
      <c r="Z177" s="284">
        <v>10500000</v>
      </c>
      <c r="AA177" s="1388">
        <v>36578787</v>
      </c>
      <c r="AB177" s="208">
        <f t="shared" si="136"/>
        <v>0.91446967499999998</v>
      </c>
      <c r="AC177" s="206">
        <v>29603684</v>
      </c>
      <c r="AD177" s="1389">
        <f t="shared" si="137"/>
        <v>0.74009210000000003</v>
      </c>
      <c r="AE177" s="1247">
        <f>+AA177-AC177</f>
        <v>6975103</v>
      </c>
      <c r="AF177" s="1388">
        <v>6300000</v>
      </c>
      <c r="AG177" s="1388">
        <v>6300000</v>
      </c>
      <c r="AH177" s="506">
        <f t="shared" si="138"/>
        <v>1</v>
      </c>
      <c r="AI177" s="1255">
        <v>140000000</v>
      </c>
      <c r="AJ177" s="1255">
        <f t="shared" ref="AJ177" si="214">+SUM(Z177:AA177)</f>
        <v>47078787</v>
      </c>
      <c r="AK177" s="1332">
        <f t="shared" si="139"/>
        <v>0.33627705000000002</v>
      </c>
      <c r="AL177" s="1330"/>
      <c r="AM177" s="1248"/>
      <c r="AN177" s="1249" t="s">
        <v>302</v>
      </c>
      <c r="AO177" s="1424" t="s">
        <v>920</v>
      </c>
      <c r="AP177" s="1250"/>
      <c r="AQ177" s="1251"/>
    </row>
    <row r="178" spans="1:43" x14ac:dyDescent="0.25">
      <c r="A178" s="241" t="s">
        <v>489</v>
      </c>
      <c r="B178" s="140"/>
      <c r="C178" s="141"/>
      <c r="D178" s="187"/>
      <c r="E178" s="181"/>
      <c r="F178" s="141"/>
      <c r="G178" s="141"/>
      <c r="H178" s="142">
        <f>+(H180*85%)+(H182*15%)</f>
        <v>0.85</v>
      </c>
      <c r="I178" s="157">
        <f>+SUMPRODUCT(I179:I182,X179:X182)</f>
        <v>0.15</v>
      </c>
      <c r="J178" s="172"/>
      <c r="K178" s="172"/>
      <c r="L178" s="143"/>
      <c r="M178" s="144"/>
      <c r="N178" s="144"/>
      <c r="O178" s="172"/>
      <c r="P178" s="172"/>
      <c r="Q178" s="172"/>
      <c r="R178" s="158"/>
      <c r="S178" s="172"/>
      <c r="T178" s="193"/>
      <c r="U178" s="201"/>
      <c r="V178" s="165">
        <f>+SUMPRODUCT(V179:V182,W179:W182)</f>
        <v>0.15</v>
      </c>
      <c r="W178" s="142">
        <v>0.2</v>
      </c>
      <c r="X178" s="394">
        <v>0.2</v>
      </c>
      <c r="Y178" s="145">
        <f>SUM(Y179:Y182)</f>
        <v>525000000</v>
      </c>
      <c r="Z178" s="145">
        <f>SUM(Z179:Z182)</f>
        <v>4000000</v>
      </c>
      <c r="AA178" s="145">
        <f>SUM(AA179:AA182)</f>
        <v>453696326</v>
      </c>
      <c r="AB178" s="207">
        <f t="shared" si="136"/>
        <v>0.8641834780952381</v>
      </c>
      <c r="AC178" s="145">
        <f>SUM(AC179:AC182)</f>
        <v>93361949</v>
      </c>
      <c r="AD178" s="588">
        <f t="shared" si="137"/>
        <v>0.17783228380952382</v>
      </c>
      <c r="AE178" s="145">
        <f>SUM(AE179:AE182)</f>
        <v>360334377</v>
      </c>
      <c r="AF178" s="145">
        <f>SUM(AF179:AF182)</f>
        <v>4000000</v>
      </c>
      <c r="AG178" s="145">
        <f>SUM(AG179:AG182)</f>
        <v>4000000</v>
      </c>
      <c r="AH178" s="505">
        <f t="shared" si="138"/>
        <v>1</v>
      </c>
      <c r="AI178" s="145">
        <f t="shared" ref="AI178:AJ178" si="215">SUM(AI179:AI182)</f>
        <v>1445000000</v>
      </c>
      <c r="AJ178" s="145">
        <f t="shared" si="215"/>
        <v>457696326</v>
      </c>
      <c r="AK178" s="1321">
        <f t="shared" si="139"/>
        <v>0.31674486228373705</v>
      </c>
      <c r="AL178" s="166"/>
      <c r="AM178" s="159"/>
      <c r="AN178" s="482"/>
      <c r="AO178" s="145"/>
      <c r="AP178" s="483"/>
      <c r="AQ178" s="101"/>
    </row>
    <row r="179" spans="1:43" ht="242.25" x14ac:dyDescent="0.25">
      <c r="A179" s="264" t="s">
        <v>628</v>
      </c>
      <c r="B179" s="352" t="s">
        <v>883</v>
      </c>
      <c r="C179" s="380">
        <v>0</v>
      </c>
      <c r="D179" s="313">
        <v>1</v>
      </c>
      <c r="E179" s="1234">
        <v>0</v>
      </c>
      <c r="F179" s="1232">
        <v>0</v>
      </c>
      <c r="G179" s="1232"/>
      <c r="H179" s="167" t="e">
        <f t="shared" ref="H179:H182" si="216">IF((E179+G179)/C179&gt;=100%,100%,(E179+G179)/C179)</f>
        <v>#DIV/0!</v>
      </c>
      <c r="I179" s="520">
        <f t="shared" ref="I179:I182" si="217">IF(F179/D179&gt;=100%,100%,F179/D179)</f>
        <v>0</v>
      </c>
      <c r="J179" s="1418" t="s">
        <v>1000</v>
      </c>
      <c r="K179" s="1418"/>
      <c r="L179" s="1236"/>
      <c r="M179" s="1237"/>
      <c r="N179" s="1238"/>
      <c r="O179" s="1418"/>
      <c r="P179" s="1418"/>
      <c r="Q179" s="1418"/>
      <c r="R179" s="1239"/>
      <c r="S179" s="1418"/>
      <c r="T179" s="1419">
        <v>3</v>
      </c>
      <c r="U179" s="1241">
        <f t="shared" ref="U179:U182" si="218">SUM(E179:F179)</f>
        <v>0</v>
      </c>
      <c r="V179" s="170">
        <f t="shared" ref="V179:V182" si="219">IF(U179/T179&gt;=100%,100%,U179/T179)</f>
        <v>0</v>
      </c>
      <c r="W179" s="415">
        <v>0.7</v>
      </c>
      <c r="X179" s="435">
        <v>0.7</v>
      </c>
      <c r="Y179" s="477">
        <v>380000000</v>
      </c>
      <c r="Z179" s="286" t="s">
        <v>892</v>
      </c>
      <c r="AA179" s="1388">
        <v>374032317</v>
      </c>
      <c r="AB179" s="208">
        <f t="shared" si="136"/>
        <v>0.98429557105263155</v>
      </c>
      <c r="AC179" s="206">
        <v>18822483</v>
      </c>
      <c r="AD179" s="1331">
        <f t="shared" si="137"/>
        <v>4.9532850000000003E-2</v>
      </c>
      <c r="AE179" s="1247">
        <f>+AA179-AC179</f>
        <v>355209834</v>
      </c>
      <c r="AF179" s="1388"/>
      <c r="AG179" s="1388"/>
      <c r="AH179" s="506" t="e">
        <f t="shared" si="138"/>
        <v>#DIV/0!</v>
      </c>
      <c r="AI179" s="1255">
        <v>1120000000</v>
      </c>
      <c r="AJ179" s="1255">
        <f t="shared" ref="AJ179:AJ189" si="220">+SUM(Z179:AA179)</f>
        <v>374032317</v>
      </c>
      <c r="AK179" s="1332">
        <f t="shared" si="139"/>
        <v>0.33395742589285715</v>
      </c>
      <c r="AL179" s="1330"/>
      <c r="AM179" s="1248"/>
      <c r="AN179" s="1249" t="s">
        <v>22</v>
      </c>
      <c r="AO179" s="492" t="s">
        <v>895</v>
      </c>
      <c r="AP179" s="1250"/>
      <c r="AQ179" s="1251"/>
    </row>
    <row r="180" spans="1:43" ht="76.5" x14ac:dyDescent="0.25">
      <c r="A180" s="264" t="s">
        <v>629</v>
      </c>
      <c r="B180" s="226" t="s">
        <v>807</v>
      </c>
      <c r="C180" s="381">
        <v>1</v>
      </c>
      <c r="D180" s="314">
        <v>1</v>
      </c>
      <c r="E180" s="225">
        <v>1</v>
      </c>
      <c r="F180" s="169">
        <v>1</v>
      </c>
      <c r="G180" s="1232"/>
      <c r="H180" s="167">
        <f t="shared" si="216"/>
        <v>1</v>
      </c>
      <c r="I180" s="520">
        <f t="shared" si="217"/>
        <v>1</v>
      </c>
      <c r="J180" s="1418" t="s">
        <v>1001</v>
      </c>
      <c r="K180" s="1418"/>
      <c r="L180" s="1236"/>
      <c r="M180" s="1237"/>
      <c r="N180" s="1238"/>
      <c r="O180" s="1418"/>
      <c r="P180" s="1418"/>
      <c r="Q180" s="1418"/>
      <c r="R180" s="1239"/>
      <c r="S180" s="1418"/>
      <c r="T180" s="179">
        <v>1</v>
      </c>
      <c r="U180" s="1241">
        <f t="shared" si="218"/>
        <v>2</v>
      </c>
      <c r="V180" s="170">
        <f t="shared" si="219"/>
        <v>1</v>
      </c>
      <c r="W180" s="416">
        <v>0.15</v>
      </c>
      <c r="X180" s="436">
        <v>0.15</v>
      </c>
      <c r="Y180" s="472">
        <v>40000000</v>
      </c>
      <c r="Z180" s="283">
        <v>4000000</v>
      </c>
      <c r="AA180" s="1388">
        <v>39378784</v>
      </c>
      <c r="AB180" s="208">
        <f t="shared" si="136"/>
        <v>0.98446959999999994</v>
      </c>
      <c r="AC180" s="206">
        <v>37991373</v>
      </c>
      <c r="AD180" s="1389">
        <f t="shared" si="137"/>
        <v>0.94978432499999998</v>
      </c>
      <c r="AE180" s="1247">
        <f>+AA180-AC180</f>
        <v>1387411</v>
      </c>
      <c r="AF180" s="1388">
        <v>4000000</v>
      </c>
      <c r="AG180" s="1388">
        <v>4000000</v>
      </c>
      <c r="AH180" s="506">
        <f t="shared" si="138"/>
        <v>1</v>
      </c>
      <c r="AI180" s="1255">
        <v>140000000</v>
      </c>
      <c r="AJ180" s="1255">
        <f t="shared" si="220"/>
        <v>43378784</v>
      </c>
      <c r="AK180" s="1332">
        <f t="shared" si="139"/>
        <v>0.30984845714285714</v>
      </c>
      <c r="AL180" s="1330"/>
      <c r="AM180" s="1248"/>
      <c r="AN180" s="1249" t="s">
        <v>302</v>
      </c>
      <c r="AO180" s="492" t="s">
        <v>895</v>
      </c>
      <c r="AP180" s="1250"/>
      <c r="AQ180" s="1251"/>
    </row>
    <row r="181" spans="1:43" ht="114.75" x14ac:dyDescent="0.25">
      <c r="A181" s="267" t="s">
        <v>630</v>
      </c>
      <c r="B181" s="351" t="s">
        <v>808</v>
      </c>
      <c r="C181" s="380">
        <v>0</v>
      </c>
      <c r="D181" s="313">
        <v>2</v>
      </c>
      <c r="E181" s="1234">
        <v>0</v>
      </c>
      <c r="F181" s="1232">
        <v>0</v>
      </c>
      <c r="G181" s="1232"/>
      <c r="H181" s="167" t="e">
        <f t="shared" si="216"/>
        <v>#DIV/0!</v>
      </c>
      <c r="I181" s="520">
        <f t="shared" si="217"/>
        <v>0</v>
      </c>
      <c r="J181" s="1418" t="s">
        <v>1002</v>
      </c>
      <c r="K181" s="1418"/>
      <c r="L181" s="1236"/>
      <c r="M181" s="1237"/>
      <c r="N181" s="1238"/>
      <c r="O181" s="1418"/>
      <c r="P181" s="1418"/>
      <c r="Q181" s="1418"/>
      <c r="R181" s="1239"/>
      <c r="S181" s="1418"/>
      <c r="T181" s="1419">
        <v>2</v>
      </c>
      <c r="U181" s="1241">
        <f t="shared" si="218"/>
        <v>0</v>
      </c>
      <c r="V181" s="170">
        <f t="shared" si="219"/>
        <v>0</v>
      </c>
      <c r="W181" s="417">
        <v>0.08</v>
      </c>
      <c r="X181" s="437">
        <v>0.08</v>
      </c>
      <c r="Y181" s="472">
        <v>85000000</v>
      </c>
      <c r="Z181" s="286" t="s">
        <v>892</v>
      </c>
      <c r="AA181" s="1388">
        <f>40285225*0.81</f>
        <v>32631032.250000004</v>
      </c>
      <c r="AB181" s="208">
        <f t="shared" si="136"/>
        <v>0.38389449705882356</v>
      </c>
      <c r="AC181" s="206">
        <f>36548093*0.81</f>
        <v>29603955.330000002</v>
      </c>
      <c r="AD181" s="1331">
        <f t="shared" si="137"/>
        <v>0.34828182741176472</v>
      </c>
      <c r="AE181" s="1247">
        <f>+AA181-AC181</f>
        <v>3027076.9200000018</v>
      </c>
      <c r="AF181" s="1388"/>
      <c r="AG181" s="1388"/>
      <c r="AH181" s="506" t="e">
        <f t="shared" si="138"/>
        <v>#DIV/0!</v>
      </c>
      <c r="AI181" s="1255">
        <v>85000000</v>
      </c>
      <c r="AJ181" s="1255">
        <f t="shared" si="220"/>
        <v>32631032.250000004</v>
      </c>
      <c r="AK181" s="1332">
        <f t="shared" si="139"/>
        <v>0.38389449705882356</v>
      </c>
      <c r="AL181" s="1330"/>
      <c r="AM181" s="1248"/>
      <c r="AN181" s="1249" t="s">
        <v>302</v>
      </c>
      <c r="AO181" s="1886" t="s">
        <v>895</v>
      </c>
      <c r="AP181" s="1250"/>
      <c r="AQ181" s="1251"/>
    </row>
    <row r="182" spans="1:43" ht="102" x14ac:dyDescent="0.25">
      <c r="A182" s="267" t="s">
        <v>631</v>
      </c>
      <c r="B182" s="355" t="s">
        <v>809</v>
      </c>
      <c r="C182" s="380">
        <v>2</v>
      </c>
      <c r="D182" s="313">
        <v>2</v>
      </c>
      <c r="E182" s="1234">
        <v>0</v>
      </c>
      <c r="F182" s="1232">
        <v>0</v>
      </c>
      <c r="G182" s="1232">
        <v>0</v>
      </c>
      <c r="H182" s="167">
        <f t="shared" si="216"/>
        <v>0</v>
      </c>
      <c r="I182" s="520">
        <f t="shared" si="217"/>
        <v>0</v>
      </c>
      <c r="J182" s="1418" t="s">
        <v>1003</v>
      </c>
      <c r="K182" s="1418"/>
      <c r="L182" s="1236"/>
      <c r="M182" s="1237"/>
      <c r="N182" s="1238"/>
      <c r="O182" s="1418"/>
      <c r="P182" s="1418"/>
      <c r="Q182" s="1418"/>
      <c r="R182" s="1239"/>
      <c r="S182" s="1418"/>
      <c r="T182" s="1419">
        <v>4</v>
      </c>
      <c r="U182" s="1241">
        <f t="shared" si="218"/>
        <v>0</v>
      </c>
      <c r="V182" s="170">
        <f t="shared" si="219"/>
        <v>0</v>
      </c>
      <c r="W182" s="417">
        <v>7.0000000000000007E-2</v>
      </c>
      <c r="X182" s="437">
        <v>7.0000000000000007E-2</v>
      </c>
      <c r="Y182" s="1436">
        <v>20000000</v>
      </c>
      <c r="Z182" s="286" t="s">
        <v>892</v>
      </c>
      <c r="AA182" s="1388">
        <f>40285225*0.19</f>
        <v>7654192.75</v>
      </c>
      <c r="AB182" s="208">
        <f t="shared" si="136"/>
        <v>0.38270963749999998</v>
      </c>
      <c r="AC182" s="206">
        <f>36548093*0.19</f>
        <v>6944137.6699999999</v>
      </c>
      <c r="AD182" s="1331">
        <f t="shared" si="137"/>
        <v>0.34720688350000001</v>
      </c>
      <c r="AE182" s="1247">
        <f>+AA182-AC182</f>
        <v>710055.08000000007</v>
      </c>
      <c r="AF182" s="1388"/>
      <c r="AG182" s="1388"/>
      <c r="AH182" s="506" t="e">
        <f t="shared" si="138"/>
        <v>#DIV/0!</v>
      </c>
      <c r="AI182" s="1255">
        <v>100000000</v>
      </c>
      <c r="AJ182" s="1255">
        <f t="shared" si="220"/>
        <v>7654192.75</v>
      </c>
      <c r="AK182" s="1332">
        <f t="shared" si="139"/>
        <v>7.6541927499999995E-2</v>
      </c>
      <c r="AL182" s="1330"/>
      <c r="AM182" s="1248"/>
      <c r="AN182" s="1249" t="s">
        <v>302</v>
      </c>
      <c r="AO182" s="1870"/>
      <c r="AP182" s="1250"/>
      <c r="AQ182" s="1251"/>
    </row>
    <row r="183" spans="1:43" x14ac:dyDescent="0.25">
      <c r="A183" s="241" t="s">
        <v>490</v>
      </c>
      <c r="B183" s="140"/>
      <c r="C183" s="141"/>
      <c r="D183" s="187"/>
      <c r="E183" s="181"/>
      <c r="F183" s="141"/>
      <c r="G183" s="141"/>
      <c r="H183" s="142">
        <f>+(H185*34%)+(H186*33%)+(H187*33%)</f>
        <v>1</v>
      </c>
      <c r="I183" s="157">
        <f>+SUMPRODUCT(I184:I189,X184:X189)</f>
        <v>0.29565217391304349</v>
      </c>
      <c r="J183" s="172"/>
      <c r="K183" s="172"/>
      <c r="L183" s="143"/>
      <c r="M183" s="144"/>
      <c r="N183" s="144"/>
      <c r="O183" s="172"/>
      <c r="P183" s="172"/>
      <c r="Q183" s="172"/>
      <c r="R183" s="158"/>
      <c r="S183" s="172"/>
      <c r="T183" s="193"/>
      <c r="U183" s="201"/>
      <c r="V183" s="165">
        <f>+SUMPRODUCT(V184:V189,W184:W189)</f>
        <v>0.30000000000000004</v>
      </c>
      <c r="W183" s="142">
        <v>0.3</v>
      </c>
      <c r="X183" s="394">
        <v>0.3</v>
      </c>
      <c r="Y183" s="145">
        <f>SUM(Y184:Y189)</f>
        <v>1000000000</v>
      </c>
      <c r="Z183" s="145">
        <f>SUM(Z184:Z189)</f>
        <v>112250000</v>
      </c>
      <c r="AA183" s="145">
        <f>SUM(AA184:AA189)</f>
        <v>985882952</v>
      </c>
      <c r="AB183" s="207">
        <f t="shared" si="136"/>
        <v>0.98588295199999998</v>
      </c>
      <c r="AC183" s="145">
        <f>SUM(AC184:AC189)</f>
        <v>608304230</v>
      </c>
      <c r="AD183" s="1386">
        <f t="shared" si="137"/>
        <v>0.60830423</v>
      </c>
      <c r="AE183" s="145">
        <f>SUM(AE184:AE189)</f>
        <v>377578722</v>
      </c>
      <c r="AF183" s="145">
        <f>SUM(AF184:AF189)</f>
        <v>35850000</v>
      </c>
      <c r="AG183" s="145">
        <f>SUM(AG184:AG189)</f>
        <v>28850000</v>
      </c>
      <c r="AH183" s="505">
        <f t="shared" si="138"/>
        <v>0.80474198047419809</v>
      </c>
      <c r="AI183" s="145">
        <f t="shared" ref="AI183:AJ183" si="221">SUM(AI184:AI189)</f>
        <v>2260000000</v>
      </c>
      <c r="AJ183" s="145">
        <f t="shared" si="221"/>
        <v>1098132952</v>
      </c>
      <c r="AK183" s="1321">
        <f t="shared" si="139"/>
        <v>0.48589953628318583</v>
      </c>
      <c r="AL183" s="166"/>
      <c r="AM183" s="159"/>
      <c r="AN183" s="482"/>
      <c r="AO183" s="145"/>
      <c r="AP183" s="483"/>
      <c r="AQ183" s="101"/>
    </row>
    <row r="184" spans="1:43" ht="114.75" x14ac:dyDescent="0.25">
      <c r="A184" s="266" t="s">
        <v>632</v>
      </c>
      <c r="B184" s="356" t="s">
        <v>781</v>
      </c>
      <c r="C184" s="382">
        <v>0</v>
      </c>
      <c r="D184" s="315">
        <v>2</v>
      </c>
      <c r="E184" s="1234">
        <v>0</v>
      </c>
      <c r="F184" s="1232">
        <v>0</v>
      </c>
      <c r="G184" s="1232"/>
      <c r="H184" s="167" t="e">
        <f t="shared" ref="H184:H189" si="222">IF((E184+G184)/C184&gt;=100%,100%,(E184+G184)/C184)</f>
        <v>#DIV/0!</v>
      </c>
      <c r="I184" s="520">
        <f t="shared" ref="I184:I189" si="223">IF(F184/D184&gt;=100%,100%,F184/D184)</f>
        <v>0</v>
      </c>
      <c r="J184" s="1418" t="s">
        <v>1004</v>
      </c>
      <c r="K184" s="1418"/>
      <c r="L184" s="1236"/>
      <c r="M184" s="1237"/>
      <c r="N184" s="1238"/>
      <c r="O184" s="1418"/>
      <c r="P184" s="1418"/>
      <c r="Q184" s="1418"/>
      <c r="R184" s="1239"/>
      <c r="S184" s="1418"/>
      <c r="T184" s="1419">
        <v>4</v>
      </c>
      <c r="U184" s="1241">
        <f t="shared" ref="U184:U189" si="224">SUM(E184:F184)</f>
        <v>0</v>
      </c>
      <c r="V184" s="170">
        <f t="shared" ref="V184:V189" si="225">IF(U184/T184&gt;=100%,100%,U184/T184)</f>
        <v>0</v>
      </c>
      <c r="W184" s="418">
        <v>0.3</v>
      </c>
      <c r="X184" s="438">
        <v>0.3</v>
      </c>
      <c r="Y184" s="473">
        <v>380000000</v>
      </c>
      <c r="Z184" s="286" t="s">
        <v>892</v>
      </c>
      <c r="AA184" s="1388">
        <v>374099447</v>
      </c>
      <c r="AB184" s="208">
        <f t="shared" si="136"/>
        <v>0.98447222894736841</v>
      </c>
      <c r="AC184" s="206">
        <v>360589843</v>
      </c>
      <c r="AD184" s="1389">
        <f t="shared" si="137"/>
        <v>0.94892063947368421</v>
      </c>
      <c r="AE184" s="1247">
        <f t="shared" ref="AE184:AE189" si="226">+AA184-AC184</f>
        <v>13509604</v>
      </c>
      <c r="AF184" s="1388"/>
      <c r="AG184" s="1388"/>
      <c r="AH184" s="506" t="e">
        <f t="shared" si="138"/>
        <v>#DIV/0!</v>
      </c>
      <c r="AI184" s="1255">
        <v>800000000</v>
      </c>
      <c r="AJ184" s="1255">
        <f t="shared" si="220"/>
        <v>374099447</v>
      </c>
      <c r="AK184" s="1332">
        <f t="shared" si="139"/>
        <v>0.46762430875</v>
      </c>
      <c r="AL184" s="1330"/>
      <c r="AM184" s="1248"/>
      <c r="AN184" s="1249" t="s">
        <v>302</v>
      </c>
      <c r="AO184" s="494" t="s">
        <v>922</v>
      </c>
      <c r="AP184" s="1250"/>
      <c r="AQ184" s="1251"/>
    </row>
    <row r="185" spans="1:43" ht="114.75" x14ac:dyDescent="0.25">
      <c r="A185" s="266" t="s">
        <v>633</v>
      </c>
      <c r="B185" s="356" t="s">
        <v>884</v>
      </c>
      <c r="C185" s="382">
        <v>23</v>
      </c>
      <c r="D185" s="315">
        <v>23</v>
      </c>
      <c r="E185" s="1234">
        <v>23</v>
      </c>
      <c r="F185" s="1232">
        <v>22</v>
      </c>
      <c r="G185" s="1232"/>
      <c r="H185" s="167">
        <f t="shared" si="222"/>
        <v>1</v>
      </c>
      <c r="I185" s="520">
        <f t="shared" si="223"/>
        <v>0.95652173913043481</v>
      </c>
      <c r="J185" s="1418" t="s">
        <v>1502</v>
      </c>
      <c r="K185" s="1418"/>
      <c r="L185" s="1236"/>
      <c r="M185" s="1237"/>
      <c r="N185" s="1238"/>
      <c r="O185" s="1418"/>
      <c r="P185" s="1418"/>
      <c r="Q185" s="1418"/>
      <c r="R185" s="1239"/>
      <c r="S185" s="1418"/>
      <c r="T185" s="1419">
        <v>23</v>
      </c>
      <c r="U185" s="1241">
        <f t="shared" si="224"/>
        <v>45</v>
      </c>
      <c r="V185" s="170">
        <f t="shared" si="225"/>
        <v>1</v>
      </c>
      <c r="W185" s="419">
        <v>0.1</v>
      </c>
      <c r="X185" s="439">
        <v>0.1</v>
      </c>
      <c r="Y185" s="502">
        <v>50000000</v>
      </c>
      <c r="Z185" s="284">
        <v>40000000</v>
      </c>
      <c r="AA185" s="1388">
        <v>49223482</v>
      </c>
      <c r="AB185" s="208">
        <f t="shared" si="136"/>
        <v>0.98446964000000003</v>
      </c>
      <c r="AC185" s="206">
        <v>47478795</v>
      </c>
      <c r="AD185" s="1389">
        <f t="shared" si="137"/>
        <v>0.94957590000000003</v>
      </c>
      <c r="AE185" s="1247">
        <f t="shared" si="226"/>
        <v>1744687</v>
      </c>
      <c r="AF185" s="1388">
        <v>10600000</v>
      </c>
      <c r="AG185" s="1388">
        <v>3600000</v>
      </c>
      <c r="AH185" s="506">
        <f t="shared" si="138"/>
        <v>0.33962264150943394</v>
      </c>
      <c r="AI185" s="1255">
        <v>560000000</v>
      </c>
      <c r="AJ185" s="1255">
        <f t="shared" si="220"/>
        <v>89223482</v>
      </c>
      <c r="AK185" s="1332">
        <f t="shared" si="139"/>
        <v>0.15932764642857142</v>
      </c>
      <c r="AL185" s="1330"/>
      <c r="AM185" s="1248"/>
      <c r="AN185" s="1249" t="s">
        <v>20</v>
      </c>
      <c r="AO185" s="494" t="s">
        <v>923</v>
      </c>
      <c r="AP185" s="1250"/>
      <c r="AQ185" s="1251"/>
    </row>
    <row r="186" spans="1:43" ht="76.5" x14ac:dyDescent="0.25">
      <c r="A186" s="266" t="s">
        <v>634</v>
      </c>
      <c r="B186" s="356" t="s">
        <v>810</v>
      </c>
      <c r="C186" s="383">
        <v>1</v>
      </c>
      <c r="D186" s="316">
        <v>1</v>
      </c>
      <c r="E186" s="228">
        <v>1</v>
      </c>
      <c r="F186" s="169">
        <v>1</v>
      </c>
      <c r="G186" s="1232"/>
      <c r="H186" s="167">
        <f t="shared" si="222"/>
        <v>1</v>
      </c>
      <c r="I186" s="520">
        <f t="shared" si="223"/>
        <v>1</v>
      </c>
      <c r="J186" s="1418" t="s">
        <v>1005</v>
      </c>
      <c r="K186" s="1418"/>
      <c r="L186" s="1236"/>
      <c r="M186" s="1237"/>
      <c r="N186" s="1238"/>
      <c r="O186" s="1418"/>
      <c r="P186" s="1418"/>
      <c r="Q186" s="1418"/>
      <c r="R186" s="1239"/>
      <c r="S186" s="1418"/>
      <c r="T186" s="179">
        <v>1</v>
      </c>
      <c r="U186" s="1241">
        <f t="shared" si="224"/>
        <v>2</v>
      </c>
      <c r="V186" s="170">
        <f t="shared" si="225"/>
        <v>1</v>
      </c>
      <c r="W186" s="420">
        <v>0.1</v>
      </c>
      <c r="X186" s="440">
        <v>0.1</v>
      </c>
      <c r="Y186" s="502">
        <v>50000000</v>
      </c>
      <c r="Z186" s="284">
        <v>37050000</v>
      </c>
      <c r="AA186" s="1388">
        <v>49223482</v>
      </c>
      <c r="AB186" s="208">
        <f t="shared" si="136"/>
        <v>0.98446964000000003</v>
      </c>
      <c r="AC186" s="206">
        <v>47478795</v>
      </c>
      <c r="AD186" s="1389">
        <f t="shared" si="137"/>
        <v>0.94957590000000003</v>
      </c>
      <c r="AE186" s="1247">
        <f t="shared" si="226"/>
        <v>1744687</v>
      </c>
      <c r="AF186" s="1388">
        <v>12250000</v>
      </c>
      <c r="AG186" s="1388">
        <v>12250000</v>
      </c>
      <c r="AH186" s="506">
        <f t="shared" si="138"/>
        <v>1</v>
      </c>
      <c r="AI186" s="1255">
        <v>0</v>
      </c>
      <c r="AJ186" s="1255">
        <f t="shared" si="220"/>
        <v>86273482</v>
      </c>
      <c r="AK186" s="1332" t="e">
        <f t="shared" si="139"/>
        <v>#DIV/0!</v>
      </c>
      <c r="AL186" s="1330"/>
      <c r="AM186" s="1248"/>
      <c r="AN186" s="1249" t="s">
        <v>302</v>
      </c>
      <c r="AO186" s="494" t="s">
        <v>914</v>
      </c>
      <c r="AP186" s="1250"/>
      <c r="AQ186" s="1251"/>
    </row>
    <row r="187" spans="1:43" ht="102" x14ac:dyDescent="0.25">
      <c r="A187" s="266" t="s">
        <v>635</v>
      </c>
      <c r="B187" s="357" t="s">
        <v>885</v>
      </c>
      <c r="C187" s="383">
        <v>1</v>
      </c>
      <c r="D187" s="316">
        <v>1</v>
      </c>
      <c r="E187" s="228">
        <v>1</v>
      </c>
      <c r="F187" s="169">
        <v>1</v>
      </c>
      <c r="G187" s="1232"/>
      <c r="H187" s="167">
        <f t="shared" si="222"/>
        <v>1</v>
      </c>
      <c r="I187" s="520">
        <f t="shared" si="223"/>
        <v>1</v>
      </c>
      <c r="J187" s="1418" t="s">
        <v>1006</v>
      </c>
      <c r="K187" s="1418"/>
      <c r="L187" s="1236"/>
      <c r="M187" s="1237"/>
      <c r="N187" s="1238"/>
      <c r="O187" s="1418"/>
      <c r="P187" s="1418"/>
      <c r="Q187" s="1418"/>
      <c r="R187" s="1239"/>
      <c r="S187" s="1418"/>
      <c r="T187" s="179">
        <v>1</v>
      </c>
      <c r="U187" s="1241">
        <f t="shared" si="224"/>
        <v>2</v>
      </c>
      <c r="V187" s="170">
        <f t="shared" si="225"/>
        <v>1</v>
      </c>
      <c r="W187" s="421">
        <v>0.1</v>
      </c>
      <c r="X187" s="441">
        <v>0.1</v>
      </c>
      <c r="Y187" s="502">
        <v>40000000</v>
      </c>
      <c r="Z187" s="284">
        <v>35200000</v>
      </c>
      <c r="AA187" s="1388">
        <v>39466418</v>
      </c>
      <c r="AB187" s="208">
        <f t="shared" si="136"/>
        <v>0.98666045000000002</v>
      </c>
      <c r="AC187" s="206">
        <v>37943187</v>
      </c>
      <c r="AD187" s="1389">
        <f t="shared" si="137"/>
        <v>0.94857967499999996</v>
      </c>
      <c r="AE187" s="1247">
        <f t="shared" si="226"/>
        <v>1523231</v>
      </c>
      <c r="AF187" s="1388">
        <v>13000000</v>
      </c>
      <c r="AG187" s="1388">
        <v>13000000</v>
      </c>
      <c r="AH187" s="506">
        <f t="shared" si="138"/>
        <v>1</v>
      </c>
      <c r="AI187" s="1255">
        <v>0</v>
      </c>
      <c r="AJ187" s="1255">
        <f t="shared" si="220"/>
        <v>74666418</v>
      </c>
      <c r="AK187" s="1332" t="e">
        <f t="shared" si="139"/>
        <v>#DIV/0!</v>
      </c>
      <c r="AL187" s="1330"/>
      <c r="AM187" s="1248"/>
      <c r="AN187" s="1249" t="s">
        <v>29</v>
      </c>
      <c r="AO187" s="494" t="s">
        <v>906</v>
      </c>
      <c r="AP187" s="1250"/>
      <c r="AQ187" s="1251"/>
    </row>
    <row r="188" spans="1:43" ht="178.5" x14ac:dyDescent="0.25">
      <c r="A188" s="266" t="s">
        <v>636</v>
      </c>
      <c r="B188" s="356" t="s">
        <v>811</v>
      </c>
      <c r="C188" s="382">
        <v>0</v>
      </c>
      <c r="D188" s="315">
        <v>1</v>
      </c>
      <c r="E188" s="227">
        <v>0</v>
      </c>
      <c r="F188" s="1232">
        <v>0</v>
      </c>
      <c r="G188" s="1232"/>
      <c r="H188" s="167" t="e">
        <f t="shared" si="222"/>
        <v>#DIV/0!</v>
      </c>
      <c r="I188" s="520">
        <f t="shared" si="223"/>
        <v>0</v>
      </c>
      <c r="J188" s="1418" t="s">
        <v>1007</v>
      </c>
      <c r="K188" s="1418"/>
      <c r="L188" s="1236"/>
      <c r="M188" s="1237"/>
      <c r="N188" s="1238"/>
      <c r="O188" s="1418"/>
      <c r="P188" s="1418"/>
      <c r="Q188" s="1418"/>
      <c r="R188" s="1239"/>
      <c r="S188" s="1418"/>
      <c r="T188" s="1419">
        <v>1</v>
      </c>
      <c r="U188" s="1241">
        <f t="shared" si="224"/>
        <v>0</v>
      </c>
      <c r="V188" s="170">
        <f t="shared" si="225"/>
        <v>0</v>
      </c>
      <c r="W188" s="421">
        <v>0.1</v>
      </c>
      <c r="X188" s="441">
        <v>0.1</v>
      </c>
      <c r="Y188" s="473">
        <v>100000000</v>
      </c>
      <c r="Z188" s="284" t="s">
        <v>892</v>
      </c>
      <c r="AA188" s="1388">
        <v>98446960</v>
      </c>
      <c r="AB188" s="208">
        <f t="shared" si="136"/>
        <v>0.98446959999999994</v>
      </c>
      <c r="AC188" s="206">
        <v>51582590</v>
      </c>
      <c r="AD188" s="1389">
        <f t="shared" si="137"/>
        <v>0.51582589999999995</v>
      </c>
      <c r="AE188" s="1247">
        <f t="shared" si="226"/>
        <v>46864370</v>
      </c>
      <c r="AF188" s="1388"/>
      <c r="AG188" s="1388"/>
      <c r="AH188" s="506" t="e">
        <f t="shared" si="138"/>
        <v>#DIV/0!</v>
      </c>
      <c r="AI188" s="1255">
        <v>100000000</v>
      </c>
      <c r="AJ188" s="1255">
        <f t="shared" si="220"/>
        <v>98446960</v>
      </c>
      <c r="AK188" s="1390">
        <f t="shared" si="139"/>
        <v>0.98446959999999994</v>
      </c>
      <c r="AL188" s="1330"/>
      <c r="AM188" s="1248"/>
      <c r="AN188" s="1249" t="s">
        <v>302</v>
      </c>
      <c r="AO188" s="494" t="s">
        <v>923</v>
      </c>
      <c r="AP188" s="1250"/>
      <c r="AQ188" s="1251"/>
    </row>
    <row r="189" spans="1:43" ht="127.5" x14ac:dyDescent="0.25">
      <c r="A189" s="266" t="s">
        <v>637</v>
      </c>
      <c r="B189" s="356" t="s">
        <v>812</v>
      </c>
      <c r="C189" s="382">
        <v>0</v>
      </c>
      <c r="D189" s="315">
        <v>2</v>
      </c>
      <c r="E189" s="227">
        <v>0</v>
      </c>
      <c r="F189" s="1232">
        <v>0</v>
      </c>
      <c r="G189" s="1232"/>
      <c r="H189" s="167" t="e">
        <f t="shared" si="222"/>
        <v>#DIV/0!</v>
      </c>
      <c r="I189" s="520">
        <f t="shared" si="223"/>
        <v>0</v>
      </c>
      <c r="J189" s="1418" t="s">
        <v>1008</v>
      </c>
      <c r="K189" s="1418"/>
      <c r="L189" s="1236"/>
      <c r="M189" s="1237"/>
      <c r="N189" s="1238"/>
      <c r="O189" s="1418"/>
      <c r="P189" s="1418"/>
      <c r="Q189" s="1418"/>
      <c r="R189" s="1239"/>
      <c r="S189" s="1418"/>
      <c r="T189" s="1419">
        <v>4</v>
      </c>
      <c r="U189" s="1241">
        <f t="shared" si="224"/>
        <v>0</v>
      </c>
      <c r="V189" s="170">
        <f t="shared" si="225"/>
        <v>0</v>
      </c>
      <c r="W189" s="421">
        <v>0.3</v>
      </c>
      <c r="X189" s="441">
        <v>0.3</v>
      </c>
      <c r="Y189" s="473">
        <v>380000000</v>
      </c>
      <c r="Z189" s="284" t="s">
        <v>892</v>
      </c>
      <c r="AA189" s="1388">
        <v>375423163</v>
      </c>
      <c r="AB189" s="208">
        <f t="shared" si="136"/>
        <v>0.98795569210526313</v>
      </c>
      <c r="AC189" s="206">
        <v>63231020</v>
      </c>
      <c r="AD189" s="1331">
        <f t="shared" si="137"/>
        <v>0.16639742105263158</v>
      </c>
      <c r="AE189" s="1247">
        <f t="shared" si="226"/>
        <v>312192143</v>
      </c>
      <c r="AF189" s="1388"/>
      <c r="AG189" s="1388"/>
      <c r="AH189" s="506" t="e">
        <f t="shared" si="138"/>
        <v>#DIV/0!</v>
      </c>
      <c r="AI189" s="1255">
        <v>800000000</v>
      </c>
      <c r="AJ189" s="1255">
        <f t="shared" si="220"/>
        <v>375423163</v>
      </c>
      <c r="AK189" s="1332">
        <f t="shared" si="139"/>
        <v>0.46927895375000001</v>
      </c>
      <c r="AL189" s="1330"/>
      <c r="AM189" s="1248"/>
      <c r="AN189" s="1249" t="s">
        <v>302</v>
      </c>
      <c r="AO189" s="494" t="s">
        <v>923</v>
      </c>
      <c r="AP189" s="1250"/>
      <c r="AQ189" s="1251"/>
    </row>
    <row r="190" spans="1:43" ht="38.25" x14ac:dyDescent="0.25">
      <c r="A190" s="1201" t="s">
        <v>440</v>
      </c>
      <c r="B190" s="1202"/>
      <c r="C190" s="1203"/>
      <c r="D190" s="1204"/>
      <c r="E190" s="1205"/>
      <c r="F190" s="1203"/>
      <c r="G190" s="1203"/>
      <c r="H190" s="1206">
        <f>+(H191*100%)</f>
        <v>0.93160000000000009</v>
      </c>
      <c r="I190" s="1260">
        <f>+(I191*X191)+(I200*X200)</f>
        <v>0.74998719999999996</v>
      </c>
      <c r="J190" s="1413"/>
      <c r="K190" s="1413"/>
      <c r="L190" s="1207"/>
      <c r="M190" s="1208"/>
      <c r="N190" s="1208"/>
      <c r="O190" s="1413"/>
      <c r="P190" s="1413"/>
      <c r="Q190" s="1413"/>
      <c r="R190" s="1310"/>
      <c r="S190" s="1413"/>
      <c r="T190" s="1414"/>
      <c r="U190" s="1211"/>
      <c r="V190" s="1212">
        <f>+(V191*W191)+(V200*W200)</f>
        <v>0.82000000000000006</v>
      </c>
      <c r="W190" s="1213">
        <v>0.25</v>
      </c>
      <c r="X190" s="1214">
        <v>0.28999999999999998</v>
      </c>
      <c r="Y190" s="1215">
        <f>+Y191+Y200</f>
        <v>2210000000</v>
      </c>
      <c r="Z190" s="1215">
        <f>+Z191+Z200</f>
        <v>1771156569</v>
      </c>
      <c r="AA190" s="1215">
        <f>+AA191+AA200</f>
        <v>2156403564</v>
      </c>
      <c r="AB190" s="1216">
        <f t="shared" si="136"/>
        <v>0.97574821900452491</v>
      </c>
      <c r="AC190" s="1215">
        <f>+AC191+AC200</f>
        <v>1910274275</v>
      </c>
      <c r="AD190" s="1313">
        <f t="shared" si="137"/>
        <v>0.86437750000000002</v>
      </c>
      <c r="AE190" s="1215">
        <f>+AE191+AE200</f>
        <v>246129289</v>
      </c>
      <c r="AF190" s="1215">
        <f>+AF191+AF200</f>
        <v>362675833</v>
      </c>
      <c r="AG190" s="1215">
        <f>+AG191+AG200</f>
        <v>344200542</v>
      </c>
      <c r="AH190" s="1219">
        <f t="shared" si="138"/>
        <v>0.94905838956189836</v>
      </c>
      <c r="AI190" s="1215">
        <f t="shared" ref="AI190:AJ190" si="227">+AI191+AI200</f>
        <v>7110000000</v>
      </c>
      <c r="AJ190" s="1215">
        <f t="shared" si="227"/>
        <v>3927560133</v>
      </c>
      <c r="AK190" s="518">
        <f t="shared" si="139"/>
        <v>0.55239945611814345</v>
      </c>
      <c r="AL190" s="161"/>
      <c r="AM190" s="1221" t="s">
        <v>293</v>
      </c>
      <c r="AN190" s="1222"/>
      <c r="AO190" s="1215"/>
      <c r="AP190" s="1223"/>
      <c r="AQ190" s="1224"/>
    </row>
    <row r="191" spans="1:43" ht="25.5" x14ac:dyDescent="0.25">
      <c r="A191" s="241" t="s">
        <v>491</v>
      </c>
      <c r="B191" s="140"/>
      <c r="C191" s="141"/>
      <c r="D191" s="187"/>
      <c r="E191" s="181"/>
      <c r="F191" s="141"/>
      <c r="G191" s="141"/>
      <c r="H191" s="142">
        <f>+(H192*36%)+(H193*16%)+(H194*14%)+(H197*18%)+(H198*16%)</f>
        <v>0.93160000000000009</v>
      </c>
      <c r="I191" s="157">
        <f>+SUMPRODUCT(I192:I199,X192:X199)</f>
        <v>0.72220799999999996</v>
      </c>
      <c r="J191" s="172"/>
      <c r="K191" s="172"/>
      <c r="L191" s="143"/>
      <c r="M191" s="144"/>
      <c r="N191" s="144"/>
      <c r="O191" s="172"/>
      <c r="P191" s="172"/>
      <c r="Q191" s="172"/>
      <c r="R191" s="158"/>
      <c r="S191" s="172"/>
      <c r="T191" s="193"/>
      <c r="U191" s="201"/>
      <c r="V191" s="165">
        <f>+SUMPRODUCT(V192:V199,W192:W199)</f>
        <v>0.8</v>
      </c>
      <c r="W191" s="142">
        <v>0.9</v>
      </c>
      <c r="X191" s="394">
        <v>0.9</v>
      </c>
      <c r="Y191" s="145">
        <f>SUM(Y192:Y199)</f>
        <v>1960000000</v>
      </c>
      <c r="Z191" s="145">
        <f>SUM(Z192:Z199)</f>
        <v>1771156569</v>
      </c>
      <c r="AA191" s="145">
        <f>SUM(AA192:AA199)</f>
        <v>1912286166</v>
      </c>
      <c r="AB191" s="207">
        <f t="shared" si="136"/>
        <v>0.97565620714285717</v>
      </c>
      <c r="AC191" s="145">
        <f>SUM(AC192:AC199)</f>
        <v>1688979721</v>
      </c>
      <c r="AD191" s="1386">
        <f t="shared" si="137"/>
        <v>0.86172434744897963</v>
      </c>
      <c r="AE191" s="145">
        <f>SUM(AE192:AE199)</f>
        <v>223306445</v>
      </c>
      <c r="AF191" s="145">
        <f>SUM(AF192:AF199)</f>
        <v>362675833</v>
      </c>
      <c r="AG191" s="145">
        <f>SUM(AG192:AG199)</f>
        <v>344200542</v>
      </c>
      <c r="AH191" s="505">
        <f t="shared" si="138"/>
        <v>0.94905838956189836</v>
      </c>
      <c r="AI191" s="145">
        <f t="shared" ref="AI191:AJ191" si="228">SUM(AI192:AI199)</f>
        <v>6860000000</v>
      </c>
      <c r="AJ191" s="145">
        <f t="shared" si="228"/>
        <v>3683442735</v>
      </c>
      <c r="AK191" s="1437">
        <f t="shared" si="139"/>
        <v>0.5369450051020408</v>
      </c>
      <c r="AL191" s="166"/>
      <c r="AM191" s="159"/>
      <c r="AN191" s="482"/>
      <c r="AO191" s="145"/>
      <c r="AP191" s="483"/>
      <c r="AQ191" s="101"/>
    </row>
    <row r="192" spans="1:43" ht="216.75" x14ac:dyDescent="0.25">
      <c r="A192" s="263" t="s">
        <v>638</v>
      </c>
      <c r="B192" s="353" t="s">
        <v>813</v>
      </c>
      <c r="C192" s="384">
        <v>1</v>
      </c>
      <c r="D192" s="317">
        <v>1</v>
      </c>
      <c r="E192" s="1438">
        <v>0.93500000000000005</v>
      </c>
      <c r="F192" s="169">
        <v>0.82</v>
      </c>
      <c r="G192" s="169">
        <v>2.5000000000000001E-2</v>
      </c>
      <c r="H192" s="167">
        <f>IF((E192+G192)/C192&gt;=100%,100%,(E192+G192)/C192)</f>
        <v>0.96000000000000008</v>
      </c>
      <c r="I192" s="520">
        <f t="shared" ref="I192:I199" si="229">IF(F192/D192&gt;=100%,100%,F192/D192)</f>
        <v>0.82</v>
      </c>
      <c r="J192" s="1418" t="s">
        <v>1009</v>
      </c>
      <c r="K192" s="1418"/>
      <c r="L192" s="1236"/>
      <c r="M192" s="1237"/>
      <c r="N192" s="1238"/>
      <c r="O192" s="1418"/>
      <c r="P192" s="1418"/>
      <c r="Q192" s="1418"/>
      <c r="R192" s="1239"/>
      <c r="S192" s="1418"/>
      <c r="T192" s="229">
        <v>1</v>
      </c>
      <c r="U192" s="1241">
        <f t="shared" ref="U192:U199" si="230">SUM(E192:F192)</f>
        <v>1.7549999999999999</v>
      </c>
      <c r="V192" s="170">
        <f t="shared" ref="V192:V199" si="231">IF(U192/T192&gt;=100%,100%,U192/T192)</f>
        <v>1</v>
      </c>
      <c r="W192" s="422">
        <v>0.3</v>
      </c>
      <c r="X192" s="395">
        <v>0.3</v>
      </c>
      <c r="Y192" s="503">
        <v>600000000</v>
      </c>
      <c r="Z192" s="285">
        <f>299700000+367923631+632082938</f>
        <v>1299706569</v>
      </c>
      <c r="AA192" s="1388">
        <v>591956476</v>
      </c>
      <c r="AB192" s="208">
        <f t="shared" si="136"/>
        <v>0.98659412666666668</v>
      </c>
      <c r="AC192" s="206">
        <v>533085672</v>
      </c>
      <c r="AD192" s="1389">
        <f t="shared" si="137"/>
        <v>0.88847611999999998</v>
      </c>
      <c r="AE192" s="1247">
        <f>+AA192-AC192</f>
        <v>58870804</v>
      </c>
      <c r="AF192" s="1388">
        <f>43164523+100161310+45400000</f>
        <v>188725833</v>
      </c>
      <c r="AG192" s="1388">
        <f>35671583+89178959+45400000</f>
        <v>170250542</v>
      </c>
      <c r="AH192" s="506">
        <f t="shared" si="138"/>
        <v>0.90210512940218412</v>
      </c>
      <c r="AI192" s="1255">
        <f>4900000000/2</f>
        <v>2450000000</v>
      </c>
      <c r="AJ192" s="1255">
        <f t="shared" ref="AJ192:AJ201" si="232">+SUM(Z192:AA192)</f>
        <v>1891663045</v>
      </c>
      <c r="AK192" s="1390">
        <f t="shared" si="139"/>
        <v>0.77210736530612245</v>
      </c>
      <c r="AL192" s="1330"/>
      <c r="AM192" s="1248"/>
      <c r="AN192" s="1249" t="s">
        <v>25</v>
      </c>
      <c r="AO192" s="493" t="s">
        <v>895</v>
      </c>
      <c r="AP192" s="1250"/>
      <c r="AQ192" s="1251"/>
    </row>
    <row r="193" spans="1:43" ht="114.75" x14ac:dyDescent="0.25">
      <c r="A193" s="263" t="s">
        <v>639</v>
      </c>
      <c r="B193" s="353" t="s">
        <v>814</v>
      </c>
      <c r="C193" s="384">
        <v>1</v>
      </c>
      <c r="D193" s="317">
        <v>1</v>
      </c>
      <c r="E193" s="230">
        <v>0.85</v>
      </c>
      <c r="F193" s="169">
        <v>0.43</v>
      </c>
      <c r="G193" s="169">
        <v>0.11</v>
      </c>
      <c r="H193" s="167">
        <f t="shared" ref="H193:H197" si="233">IF((E193+G193)/C193&gt;=100%,100%,(E193+G193)/C193)</f>
        <v>0.96</v>
      </c>
      <c r="I193" s="520">
        <f t="shared" si="229"/>
        <v>0.43</v>
      </c>
      <c r="J193" s="1418" t="s">
        <v>1010</v>
      </c>
      <c r="K193" s="1418"/>
      <c r="L193" s="1236"/>
      <c r="M193" s="1237"/>
      <c r="N193" s="1238"/>
      <c r="O193" s="1418"/>
      <c r="P193" s="1418"/>
      <c r="Q193" s="1418"/>
      <c r="R193" s="1239"/>
      <c r="S193" s="1418"/>
      <c r="T193" s="229">
        <v>1</v>
      </c>
      <c r="U193" s="1241">
        <f t="shared" si="230"/>
        <v>1.28</v>
      </c>
      <c r="V193" s="170">
        <f t="shared" si="231"/>
        <v>1</v>
      </c>
      <c r="W193" s="422">
        <v>0.1</v>
      </c>
      <c r="X193" s="395">
        <v>0.14000000000000001</v>
      </c>
      <c r="Y193" s="503">
        <v>600000000</v>
      </c>
      <c r="Z193" s="285">
        <v>299800000</v>
      </c>
      <c r="AA193" s="1388">
        <v>591956476</v>
      </c>
      <c r="AB193" s="208">
        <f t="shared" si="136"/>
        <v>0.98659412666666668</v>
      </c>
      <c r="AC193" s="206">
        <v>522105349</v>
      </c>
      <c r="AD193" s="1389">
        <f t="shared" si="137"/>
        <v>0.87017558166666664</v>
      </c>
      <c r="AE193" s="1247">
        <f>+AA193-AC193</f>
        <v>69851127</v>
      </c>
      <c r="AF193" s="1388">
        <v>123000000</v>
      </c>
      <c r="AG193" s="1388">
        <v>123000000</v>
      </c>
      <c r="AH193" s="506">
        <f t="shared" si="138"/>
        <v>1</v>
      </c>
      <c r="AI193" s="1255">
        <f>4900000000/2</f>
        <v>2450000000</v>
      </c>
      <c r="AJ193" s="1255">
        <f t="shared" si="232"/>
        <v>891756476</v>
      </c>
      <c r="AK193" s="1332">
        <f t="shared" si="139"/>
        <v>0.36398223510204081</v>
      </c>
      <c r="AL193" s="1330"/>
      <c r="AM193" s="1248"/>
      <c r="AN193" s="1249" t="s">
        <v>26</v>
      </c>
      <c r="AO193" s="493" t="s">
        <v>895</v>
      </c>
      <c r="AP193" s="1250"/>
      <c r="AQ193" s="1251"/>
    </row>
    <row r="194" spans="1:43" ht="127.5" x14ac:dyDescent="0.25">
      <c r="A194" s="263" t="s">
        <v>640</v>
      </c>
      <c r="B194" s="358" t="s">
        <v>887</v>
      </c>
      <c r="C194" s="384">
        <v>1</v>
      </c>
      <c r="D194" s="317">
        <v>1</v>
      </c>
      <c r="E194" s="230">
        <v>0.66</v>
      </c>
      <c r="F194" s="169">
        <v>0.81</v>
      </c>
      <c r="G194" s="1232"/>
      <c r="H194" s="167">
        <f t="shared" si="233"/>
        <v>0.66</v>
      </c>
      <c r="I194" s="520">
        <f t="shared" si="229"/>
        <v>0.81</v>
      </c>
      <c r="J194" s="1418" t="s">
        <v>1011</v>
      </c>
      <c r="K194" s="1418"/>
      <c r="L194" s="1236"/>
      <c r="M194" s="1237"/>
      <c r="N194" s="1238"/>
      <c r="O194" s="1418"/>
      <c r="P194" s="1418"/>
      <c r="Q194" s="1418"/>
      <c r="R194" s="1239"/>
      <c r="S194" s="1418"/>
      <c r="T194" s="229">
        <v>1</v>
      </c>
      <c r="U194" s="1241">
        <f t="shared" si="230"/>
        <v>1.4700000000000002</v>
      </c>
      <c r="V194" s="170">
        <f t="shared" si="231"/>
        <v>1</v>
      </c>
      <c r="W194" s="422">
        <v>0.08</v>
      </c>
      <c r="X194" s="395">
        <v>0.08</v>
      </c>
      <c r="Y194" s="474">
        <v>60000000</v>
      </c>
      <c r="Z194" s="285">
        <v>55450000</v>
      </c>
      <c r="AA194" s="1388">
        <v>58918176</v>
      </c>
      <c r="AB194" s="208">
        <f t="shared" si="136"/>
        <v>0.9819696</v>
      </c>
      <c r="AC194" s="206">
        <v>37870506</v>
      </c>
      <c r="AD194" s="1389">
        <f t="shared" si="137"/>
        <v>0.63117509999999999</v>
      </c>
      <c r="AE194" s="1247">
        <f>+AA194-AC194</f>
        <v>21047670</v>
      </c>
      <c r="AF194" s="1388">
        <v>32850000</v>
      </c>
      <c r="AG194" s="1388">
        <v>32850000</v>
      </c>
      <c r="AH194" s="506">
        <f t="shared" si="138"/>
        <v>1</v>
      </c>
      <c r="AI194" s="1255">
        <v>240000000</v>
      </c>
      <c r="AJ194" s="1255">
        <f t="shared" si="232"/>
        <v>114368176</v>
      </c>
      <c r="AK194" s="1332">
        <f t="shared" si="139"/>
        <v>0.47653406666666664</v>
      </c>
      <c r="AL194" s="1330"/>
      <c r="AM194" s="1248"/>
      <c r="AN194" s="1249" t="s">
        <v>302</v>
      </c>
      <c r="AO194" s="493" t="s">
        <v>906</v>
      </c>
      <c r="AP194" s="1250"/>
      <c r="AQ194" s="1251"/>
    </row>
    <row r="195" spans="1:43" ht="204" x14ac:dyDescent="0.25">
      <c r="A195" s="263" t="s">
        <v>641</v>
      </c>
      <c r="B195" s="353" t="s">
        <v>765</v>
      </c>
      <c r="C195" s="385">
        <v>0</v>
      </c>
      <c r="D195" s="318">
        <v>1</v>
      </c>
      <c r="E195" s="232">
        <v>0</v>
      </c>
      <c r="F195" s="1232">
        <v>1</v>
      </c>
      <c r="G195" s="1232"/>
      <c r="H195" s="167" t="e">
        <f t="shared" si="233"/>
        <v>#DIV/0!</v>
      </c>
      <c r="I195" s="520">
        <f t="shared" si="229"/>
        <v>1</v>
      </c>
      <c r="J195" s="1418" t="s">
        <v>1012</v>
      </c>
      <c r="K195" s="1418"/>
      <c r="L195" s="1236"/>
      <c r="M195" s="1237"/>
      <c r="N195" s="1238"/>
      <c r="O195" s="1418"/>
      <c r="P195" s="1418"/>
      <c r="Q195" s="1418"/>
      <c r="R195" s="1239"/>
      <c r="S195" s="1418"/>
      <c r="T195" s="231">
        <v>1</v>
      </c>
      <c r="U195" s="1241">
        <f t="shared" si="230"/>
        <v>1</v>
      </c>
      <c r="V195" s="170">
        <f t="shared" si="231"/>
        <v>1</v>
      </c>
      <c r="W195" s="422">
        <v>0.1</v>
      </c>
      <c r="X195" s="395">
        <v>0.1</v>
      </c>
      <c r="Y195" s="474">
        <v>250000000</v>
      </c>
      <c r="Z195" s="285" t="s">
        <v>892</v>
      </c>
      <c r="AA195" s="1388">
        <v>244443805</v>
      </c>
      <c r="AB195" s="208">
        <f t="shared" si="136"/>
        <v>0.97777521999999994</v>
      </c>
      <c r="AC195" s="206">
        <v>231001294</v>
      </c>
      <c r="AD195" s="1389">
        <f t="shared" si="137"/>
        <v>0.92400517599999998</v>
      </c>
      <c r="AE195" s="1247">
        <f>+AA195-AC195</f>
        <v>13442511</v>
      </c>
      <c r="AF195" s="1388"/>
      <c r="AG195" s="1388"/>
      <c r="AH195" s="506" t="e">
        <f t="shared" si="138"/>
        <v>#DIV/0!</v>
      </c>
      <c r="AI195" s="1255">
        <v>250000000</v>
      </c>
      <c r="AJ195" s="1255">
        <f t="shared" si="232"/>
        <v>244443805</v>
      </c>
      <c r="AK195" s="1390">
        <f t="shared" si="139"/>
        <v>0.97777521999999994</v>
      </c>
      <c r="AL195" s="1330"/>
      <c r="AM195" s="1248"/>
      <c r="AN195" s="1249" t="s">
        <v>302</v>
      </c>
      <c r="AO195" s="493" t="s">
        <v>895</v>
      </c>
      <c r="AP195" s="1250"/>
      <c r="AQ195" s="1251"/>
    </row>
    <row r="196" spans="1:43" ht="51" x14ac:dyDescent="0.25">
      <c r="A196" s="263" t="s">
        <v>642</v>
      </c>
      <c r="B196" s="353" t="s">
        <v>815</v>
      </c>
      <c r="C196" s="384">
        <v>0</v>
      </c>
      <c r="D196" s="317">
        <v>0</v>
      </c>
      <c r="E196" s="230">
        <v>0</v>
      </c>
      <c r="F196" s="1232">
        <v>0</v>
      </c>
      <c r="G196" s="1232"/>
      <c r="H196" s="167" t="e">
        <f t="shared" si="233"/>
        <v>#DIV/0!</v>
      </c>
      <c r="I196" s="520">
        <v>0</v>
      </c>
      <c r="J196" s="1418"/>
      <c r="K196" s="1418"/>
      <c r="L196" s="1236"/>
      <c r="M196" s="1237"/>
      <c r="N196" s="1238"/>
      <c r="O196" s="1418"/>
      <c r="P196" s="1418"/>
      <c r="Q196" s="1418"/>
      <c r="R196" s="1239"/>
      <c r="S196" s="1418"/>
      <c r="T196" s="229">
        <v>1</v>
      </c>
      <c r="U196" s="1241">
        <f t="shared" si="230"/>
        <v>0</v>
      </c>
      <c r="V196" s="170">
        <f t="shared" si="231"/>
        <v>0</v>
      </c>
      <c r="W196" s="422">
        <v>0.1</v>
      </c>
      <c r="X196" s="395">
        <v>0</v>
      </c>
      <c r="Y196" s="475" t="s">
        <v>892</v>
      </c>
      <c r="Z196" s="285" t="s">
        <v>892</v>
      </c>
      <c r="AA196" s="1388"/>
      <c r="AB196" s="208" t="e">
        <f t="shared" si="136"/>
        <v>#DIV/0!</v>
      </c>
      <c r="AC196" s="206"/>
      <c r="AD196" s="1331" t="e">
        <f t="shared" si="137"/>
        <v>#DIV/0!</v>
      </c>
      <c r="AE196" s="1430"/>
      <c r="AF196" s="1388"/>
      <c r="AG196" s="1388"/>
      <c r="AH196" s="506" t="e">
        <f t="shared" si="138"/>
        <v>#DIV/0!</v>
      </c>
      <c r="AI196" s="1255">
        <v>200000000</v>
      </c>
      <c r="AJ196" s="1255">
        <f t="shared" si="232"/>
        <v>0</v>
      </c>
      <c r="AK196" s="1332">
        <f t="shared" si="139"/>
        <v>0</v>
      </c>
      <c r="AL196" s="1330"/>
      <c r="AM196" s="1248"/>
      <c r="AN196" s="1249" t="s">
        <v>302</v>
      </c>
      <c r="AO196" s="493" t="s">
        <v>895</v>
      </c>
      <c r="AP196" s="1250"/>
      <c r="AQ196" s="1251"/>
    </row>
    <row r="197" spans="1:43" ht="293.25" x14ac:dyDescent="0.25">
      <c r="A197" s="263" t="s">
        <v>643</v>
      </c>
      <c r="B197" s="353" t="s">
        <v>816</v>
      </c>
      <c r="C197" s="384">
        <v>1</v>
      </c>
      <c r="D197" s="317">
        <v>1</v>
      </c>
      <c r="E197" s="230">
        <v>1</v>
      </c>
      <c r="F197" s="169">
        <v>0.83499999999999996</v>
      </c>
      <c r="G197" s="1232"/>
      <c r="H197" s="167">
        <f t="shared" si="233"/>
        <v>1</v>
      </c>
      <c r="I197" s="520">
        <f t="shared" si="229"/>
        <v>0.83499999999999996</v>
      </c>
      <c r="J197" s="1418" t="s">
        <v>1013</v>
      </c>
      <c r="K197" s="1418"/>
      <c r="L197" s="1236"/>
      <c r="M197" s="1237"/>
      <c r="N197" s="1238"/>
      <c r="O197" s="1418"/>
      <c r="P197" s="1418"/>
      <c r="Q197" s="1418"/>
      <c r="R197" s="1239"/>
      <c r="S197" s="1418"/>
      <c r="T197" s="229">
        <v>1</v>
      </c>
      <c r="U197" s="1241">
        <f t="shared" si="230"/>
        <v>1.835</v>
      </c>
      <c r="V197" s="170">
        <f t="shared" si="231"/>
        <v>1</v>
      </c>
      <c r="W197" s="422">
        <v>0.12</v>
      </c>
      <c r="X197" s="395">
        <v>0.12</v>
      </c>
      <c r="Y197" s="478">
        <v>130000000</v>
      </c>
      <c r="Z197" s="285">
        <v>60000000</v>
      </c>
      <c r="AA197" s="1388">
        <v>127981050</v>
      </c>
      <c r="AB197" s="208">
        <f t="shared" si="136"/>
        <v>0.98446961538461542</v>
      </c>
      <c r="AC197" s="206">
        <v>119177761</v>
      </c>
      <c r="AD197" s="1389">
        <f t="shared" si="137"/>
        <v>0.91675200769230769</v>
      </c>
      <c r="AE197" s="1247">
        <f>+AA197-AC197</f>
        <v>8803289</v>
      </c>
      <c r="AF197" s="1388">
        <v>4300000</v>
      </c>
      <c r="AG197" s="1388">
        <v>4300000</v>
      </c>
      <c r="AH197" s="506">
        <f t="shared" si="138"/>
        <v>1</v>
      </c>
      <c r="AI197" s="1255">
        <v>435000000</v>
      </c>
      <c r="AJ197" s="1255">
        <f t="shared" si="232"/>
        <v>187981050</v>
      </c>
      <c r="AK197" s="1332">
        <f t="shared" si="139"/>
        <v>0.43214034482758623</v>
      </c>
      <c r="AL197" s="1330"/>
      <c r="AM197" s="1248"/>
      <c r="AN197" s="1249" t="s">
        <v>302</v>
      </c>
      <c r="AO197" s="493" t="s">
        <v>895</v>
      </c>
      <c r="AP197" s="1250"/>
      <c r="AQ197" s="1251"/>
    </row>
    <row r="198" spans="1:43" ht="306" x14ac:dyDescent="0.25">
      <c r="A198" s="263" t="s">
        <v>644</v>
      </c>
      <c r="B198" s="358" t="s">
        <v>886</v>
      </c>
      <c r="C198" s="384">
        <v>1</v>
      </c>
      <c r="D198" s="317">
        <v>1</v>
      </c>
      <c r="E198" s="230">
        <v>1</v>
      </c>
      <c r="F198" s="169">
        <v>0.94379999999999997</v>
      </c>
      <c r="G198" s="1232"/>
      <c r="H198" s="167">
        <f>IF((E198+G198)/C198&gt;=100%,100%,(E198+G198)/C198)</f>
        <v>1</v>
      </c>
      <c r="I198" s="520">
        <f t="shared" si="229"/>
        <v>0.94379999999999997</v>
      </c>
      <c r="J198" s="1418" t="s">
        <v>1014</v>
      </c>
      <c r="K198" s="1418"/>
      <c r="L198" s="1236"/>
      <c r="M198" s="1237"/>
      <c r="N198" s="1238"/>
      <c r="O198" s="1418"/>
      <c r="P198" s="1418"/>
      <c r="Q198" s="1418"/>
      <c r="R198" s="1239"/>
      <c r="S198" s="1418"/>
      <c r="T198" s="229">
        <v>1</v>
      </c>
      <c r="U198" s="1241">
        <f t="shared" si="230"/>
        <v>1.9438</v>
      </c>
      <c r="V198" s="170">
        <f t="shared" si="231"/>
        <v>1</v>
      </c>
      <c r="W198" s="422">
        <v>0.1</v>
      </c>
      <c r="X198" s="395">
        <v>0.16</v>
      </c>
      <c r="Y198" s="478">
        <v>120000000</v>
      </c>
      <c r="Z198" s="285">
        <v>56200000</v>
      </c>
      <c r="AA198" s="1388">
        <v>118136352</v>
      </c>
      <c r="AB198" s="208">
        <f t="shared" si="136"/>
        <v>0.98446959999999994</v>
      </c>
      <c r="AC198" s="206">
        <v>112404117</v>
      </c>
      <c r="AD198" s="1389">
        <f t="shared" si="137"/>
        <v>0.93670097500000005</v>
      </c>
      <c r="AE198" s="1247">
        <f>+AA198-AC198</f>
        <v>5732235</v>
      </c>
      <c r="AF198" s="1388">
        <v>13800000</v>
      </c>
      <c r="AG198" s="1388">
        <v>13800000</v>
      </c>
      <c r="AH198" s="506">
        <f t="shared" si="138"/>
        <v>1</v>
      </c>
      <c r="AI198" s="1255">
        <v>435000000</v>
      </c>
      <c r="AJ198" s="1255">
        <f t="shared" si="232"/>
        <v>174336352</v>
      </c>
      <c r="AK198" s="1332">
        <f t="shared" si="139"/>
        <v>0.40077322298850576</v>
      </c>
      <c r="AL198" s="1330"/>
      <c r="AM198" s="1248"/>
      <c r="AN198" s="1249" t="s">
        <v>302</v>
      </c>
      <c r="AO198" s="493" t="s">
        <v>924</v>
      </c>
      <c r="AP198" s="1250"/>
      <c r="AQ198" s="1251"/>
    </row>
    <row r="199" spans="1:43" ht="255" x14ac:dyDescent="0.25">
      <c r="A199" s="263" t="s">
        <v>645</v>
      </c>
      <c r="B199" s="353" t="s">
        <v>817</v>
      </c>
      <c r="C199" s="385">
        <v>0</v>
      </c>
      <c r="D199" s="318">
        <v>1</v>
      </c>
      <c r="E199" s="232">
        <v>0</v>
      </c>
      <c r="F199" s="1232">
        <v>0</v>
      </c>
      <c r="G199" s="1232"/>
      <c r="H199" s="167" t="e">
        <f t="shared" ref="H199" si="234">IF((E199+G199)/C199&gt;=100%,100%,(E199+G199)/C199)</f>
        <v>#DIV/0!</v>
      </c>
      <c r="I199" s="520">
        <f t="shared" si="229"/>
        <v>0</v>
      </c>
      <c r="J199" s="1418" t="s">
        <v>1503</v>
      </c>
      <c r="K199" s="1418"/>
      <c r="L199" s="1236"/>
      <c r="M199" s="1237"/>
      <c r="N199" s="1238"/>
      <c r="O199" s="1418"/>
      <c r="P199" s="1418"/>
      <c r="Q199" s="1418"/>
      <c r="R199" s="1239"/>
      <c r="S199" s="1418"/>
      <c r="T199" s="231">
        <v>1</v>
      </c>
      <c r="U199" s="1241">
        <f t="shared" si="230"/>
        <v>0</v>
      </c>
      <c r="V199" s="170">
        <f t="shared" si="231"/>
        <v>0</v>
      </c>
      <c r="W199" s="422">
        <v>0.1</v>
      </c>
      <c r="X199" s="395">
        <v>0.1</v>
      </c>
      <c r="Y199" s="474">
        <v>200000000</v>
      </c>
      <c r="Z199" s="285" t="s">
        <v>892</v>
      </c>
      <c r="AA199" s="1388">
        <v>178893831</v>
      </c>
      <c r="AB199" s="208">
        <f t="shared" si="136"/>
        <v>0.89446915500000002</v>
      </c>
      <c r="AC199" s="206">
        <v>133335022</v>
      </c>
      <c r="AD199" s="1389">
        <f t="shared" si="137"/>
        <v>0.66667511000000002</v>
      </c>
      <c r="AE199" s="1247">
        <f>+AA199-AC199</f>
        <v>45558809</v>
      </c>
      <c r="AF199" s="1388"/>
      <c r="AG199" s="1388"/>
      <c r="AH199" s="506" t="e">
        <f t="shared" si="138"/>
        <v>#DIV/0!</v>
      </c>
      <c r="AI199" s="1255">
        <v>400000000</v>
      </c>
      <c r="AJ199" s="1255">
        <f t="shared" si="232"/>
        <v>178893831</v>
      </c>
      <c r="AK199" s="1332">
        <f t="shared" si="139"/>
        <v>0.44723457750000001</v>
      </c>
      <c r="AL199" s="1330"/>
      <c r="AM199" s="1248"/>
      <c r="AN199" s="1249" t="s">
        <v>302</v>
      </c>
      <c r="AO199" s="493" t="s">
        <v>924</v>
      </c>
      <c r="AP199" s="1250"/>
      <c r="AQ199" s="1251"/>
    </row>
    <row r="200" spans="1:43" x14ac:dyDescent="0.25">
      <c r="A200" s="241" t="s">
        <v>492</v>
      </c>
      <c r="B200" s="140"/>
      <c r="C200" s="141"/>
      <c r="D200" s="187"/>
      <c r="E200" s="181"/>
      <c r="F200" s="141"/>
      <c r="G200" s="141"/>
      <c r="H200" s="142">
        <v>0</v>
      </c>
      <c r="I200" s="157">
        <f>+SUMPRODUCT(I201:I201,X201:X201)</f>
        <v>1</v>
      </c>
      <c r="J200" s="172"/>
      <c r="K200" s="172"/>
      <c r="L200" s="143"/>
      <c r="M200" s="144"/>
      <c r="N200" s="144"/>
      <c r="O200" s="172"/>
      <c r="P200" s="172"/>
      <c r="Q200" s="172"/>
      <c r="R200" s="158"/>
      <c r="S200" s="172"/>
      <c r="T200" s="1439"/>
      <c r="U200" s="201"/>
      <c r="V200" s="165">
        <f>+SUMPRODUCT(V201:V201,W201:W201)</f>
        <v>1</v>
      </c>
      <c r="W200" s="142">
        <v>0.1</v>
      </c>
      <c r="X200" s="394">
        <v>0.1</v>
      </c>
      <c r="Y200" s="145">
        <f>SUM(Y201)</f>
        <v>250000000</v>
      </c>
      <c r="Z200" s="145">
        <f>SUM(Z201)</f>
        <v>0</v>
      </c>
      <c r="AA200" s="145">
        <f>SUM(AA201)</f>
        <v>244117398</v>
      </c>
      <c r="AB200" s="207">
        <f t="shared" si="136"/>
        <v>0.97646959200000005</v>
      </c>
      <c r="AC200" s="145">
        <f>SUM(AC201)</f>
        <v>221294554</v>
      </c>
      <c r="AD200" s="1386">
        <f t="shared" si="137"/>
        <v>0.88517821600000002</v>
      </c>
      <c r="AE200" s="145">
        <f>SUM(AE201)</f>
        <v>22822844</v>
      </c>
      <c r="AF200" s="145">
        <f>SUM(AF201)</f>
        <v>0</v>
      </c>
      <c r="AG200" s="145">
        <f>SUM(AG201)</f>
        <v>0</v>
      </c>
      <c r="AH200" s="505" t="e">
        <f t="shared" si="138"/>
        <v>#DIV/0!</v>
      </c>
      <c r="AI200" s="145">
        <f t="shared" ref="AI200:AJ200" si="235">SUM(AI201)</f>
        <v>250000000</v>
      </c>
      <c r="AJ200" s="145">
        <f t="shared" si="235"/>
        <v>244117398</v>
      </c>
      <c r="AK200" s="1437">
        <f t="shared" si="139"/>
        <v>0.97646959200000005</v>
      </c>
      <c r="AL200" s="166"/>
      <c r="AM200" s="159"/>
      <c r="AN200" s="482"/>
      <c r="AO200" s="145"/>
      <c r="AP200" s="483"/>
      <c r="AQ200" s="101"/>
    </row>
    <row r="201" spans="1:43" ht="165.75" x14ac:dyDescent="0.25">
      <c r="A201" s="266" t="s">
        <v>646</v>
      </c>
      <c r="B201" s="1431" t="s">
        <v>818</v>
      </c>
      <c r="C201" s="1416">
        <v>0</v>
      </c>
      <c r="D201" s="1417">
        <v>1</v>
      </c>
      <c r="E201" s="1234">
        <v>0</v>
      </c>
      <c r="F201" s="1232">
        <v>1</v>
      </c>
      <c r="G201" s="1232"/>
      <c r="H201" s="167" t="e">
        <f t="shared" ref="H201" si="236">IF((E201+G201)/C201&gt;=100%,100%,(E201+G201)/C201)</f>
        <v>#DIV/0!</v>
      </c>
      <c r="I201" s="520">
        <f t="shared" ref="I201" si="237">IF(F201/D201&gt;=100%,100%,F201/D201)</f>
        <v>1</v>
      </c>
      <c r="J201" s="1418" t="s">
        <v>1015</v>
      </c>
      <c r="K201" s="1418"/>
      <c r="L201" s="1236"/>
      <c r="M201" s="1237"/>
      <c r="N201" s="1238"/>
      <c r="O201" s="1418"/>
      <c r="P201" s="1418"/>
      <c r="Q201" s="1418"/>
      <c r="R201" s="1239"/>
      <c r="S201" s="1418"/>
      <c r="T201" s="231">
        <v>1</v>
      </c>
      <c r="U201" s="1241">
        <f t="shared" ref="U201" si="238">SUM(E201:F201)</f>
        <v>1</v>
      </c>
      <c r="V201" s="170">
        <f t="shared" ref="V201" si="239">IF(U201/T201&gt;=100%,100%,U201/T201)</f>
        <v>1</v>
      </c>
      <c r="W201" s="317">
        <v>1</v>
      </c>
      <c r="X201" s="1440">
        <v>1</v>
      </c>
      <c r="Y201" s="473">
        <v>250000000</v>
      </c>
      <c r="Z201" s="285" t="s">
        <v>892</v>
      </c>
      <c r="AA201" s="1388">
        <v>244117398</v>
      </c>
      <c r="AB201" s="208">
        <f t="shared" ref="AB201:AB264" si="240">+AA201/Y201</f>
        <v>0.97646959200000005</v>
      </c>
      <c r="AC201" s="206">
        <v>221294554</v>
      </c>
      <c r="AD201" s="1389">
        <f t="shared" ref="AD201:AD264" si="241">+AC201/Y201</f>
        <v>0.88517821600000002</v>
      </c>
      <c r="AE201" s="1247">
        <f>+AA201-AC201</f>
        <v>22822844</v>
      </c>
      <c r="AF201" s="1388"/>
      <c r="AG201" s="1388"/>
      <c r="AH201" s="506" t="e">
        <f t="shared" ref="AH201:AH264" si="242">+AG201/AF201</f>
        <v>#DIV/0!</v>
      </c>
      <c r="AI201" s="1255">
        <v>250000000</v>
      </c>
      <c r="AJ201" s="1255">
        <f t="shared" si="232"/>
        <v>244117398</v>
      </c>
      <c r="AK201" s="1390">
        <f t="shared" ref="AK201:AK264" si="243">+AJ201/AI201</f>
        <v>0.97646959200000005</v>
      </c>
      <c r="AL201" s="1330"/>
      <c r="AM201" s="1248"/>
      <c r="AN201" s="1249" t="s">
        <v>302</v>
      </c>
      <c r="AO201" s="1424" t="s">
        <v>895</v>
      </c>
      <c r="AP201" s="1250"/>
      <c r="AQ201" s="1251"/>
    </row>
    <row r="202" spans="1:43" ht="38.25" x14ac:dyDescent="0.25">
      <c r="A202" s="1201" t="s">
        <v>441</v>
      </c>
      <c r="B202" s="1202"/>
      <c r="C202" s="1203"/>
      <c r="D202" s="1204"/>
      <c r="E202" s="1205"/>
      <c r="F202" s="1203"/>
      <c r="G202" s="1203"/>
      <c r="H202" s="1206">
        <f>+(H203*W203)</f>
        <v>1</v>
      </c>
      <c r="I202" s="1260">
        <f>+(I203*X203)</f>
        <v>1</v>
      </c>
      <c r="J202" s="1413"/>
      <c r="K202" s="1413"/>
      <c r="L202" s="1207"/>
      <c r="M202" s="1208"/>
      <c r="N202" s="1208"/>
      <c r="O202" s="1413"/>
      <c r="P202" s="1413"/>
      <c r="Q202" s="1413"/>
      <c r="R202" s="1310"/>
      <c r="S202" s="1413"/>
      <c r="T202" s="1414"/>
      <c r="U202" s="1211"/>
      <c r="V202" s="1212">
        <f>+(V203*W203)</f>
        <v>0.4</v>
      </c>
      <c r="W202" s="1213">
        <v>0.15</v>
      </c>
      <c r="X202" s="1214">
        <v>0.18</v>
      </c>
      <c r="Y202" s="1215">
        <f>+Y203</f>
        <v>200000000</v>
      </c>
      <c r="Z202" s="1215">
        <f>+Z203</f>
        <v>176700000</v>
      </c>
      <c r="AA202" s="1215">
        <f>+AA203</f>
        <v>181800319</v>
      </c>
      <c r="AB202" s="1216">
        <f t="shared" si="240"/>
        <v>0.909001595</v>
      </c>
      <c r="AC202" s="1215">
        <f>+AC203</f>
        <v>153323642</v>
      </c>
      <c r="AD202" s="1313">
        <f t="shared" si="241"/>
        <v>0.76661820999999997</v>
      </c>
      <c r="AE202" s="1215">
        <f>+AE203</f>
        <v>28476677</v>
      </c>
      <c r="AF202" s="1215">
        <f>+AF203</f>
        <v>79500000</v>
      </c>
      <c r="AG202" s="1215">
        <f>+AG203</f>
        <v>79500000</v>
      </c>
      <c r="AH202" s="1219">
        <f t="shared" si="242"/>
        <v>1</v>
      </c>
      <c r="AI202" s="1215">
        <f t="shared" ref="AI202:AJ202" si="244">+AI203</f>
        <v>2500000000</v>
      </c>
      <c r="AJ202" s="1215">
        <f t="shared" si="244"/>
        <v>358500319</v>
      </c>
      <c r="AK202" s="209">
        <f t="shared" si="243"/>
        <v>0.14340012760000001</v>
      </c>
      <c r="AL202" s="161"/>
      <c r="AM202" s="1221" t="s">
        <v>297</v>
      </c>
      <c r="AN202" s="1222"/>
      <c r="AO202" s="1215"/>
      <c r="AP202" s="1223"/>
      <c r="AQ202" s="1224"/>
    </row>
    <row r="203" spans="1:43" ht="25.5" x14ac:dyDescent="0.25">
      <c r="A203" s="241" t="s">
        <v>493</v>
      </c>
      <c r="B203" s="140"/>
      <c r="C203" s="141"/>
      <c r="D203" s="187"/>
      <c r="E203" s="181"/>
      <c r="F203" s="141"/>
      <c r="G203" s="141"/>
      <c r="H203" s="142">
        <f>+(H206*50%)+(H207*50%)</f>
        <v>1</v>
      </c>
      <c r="I203" s="157">
        <f>+SUMPRODUCT(I204:I207,X204:X207)</f>
        <v>1</v>
      </c>
      <c r="J203" s="172"/>
      <c r="K203" s="172"/>
      <c r="L203" s="143"/>
      <c r="M203" s="144"/>
      <c r="N203" s="144"/>
      <c r="O203" s="172"/>
      <c r="P203" s="172"/>
      <c r="Q203" s="172"/>
      <c r="R203" s="158"/>
      <c r="S203" s="172"/>
      <c r="T203" s="193"/>
      <c r="U203" s="201"/>
      <c r="V203" s="165">
        <f>+SUMPRODUCT(V204:V207,W204:W207)</f>
        <v>0.4</v>
      </c>
      <c r="W203" s="142">
        <v>1</v>
      </c>
      <c r="X203" s="394">
        <v>1</v>
      </c>
      <c r="Y203" s="145">
        <f>SUM(Y204:Y207)</f>
        <v>200000000</v>
      </c>
      <c r="Z203" s="145">
        <f>SUM(Z204:Z207)</f>
        <v>176700000</v>
      </c>
      <c r="AA203" s="145">
        <f>SUM(AA204:AA207)</f>
        <v>181800319</v>
      </c>
      <c r="AB203" s="207">
        <f t="shared" si="240"/>
        <v>0.909001595</v>
      </c>
      <c r="AC203" s="145">
        <f>SUM(AC204:AC207)</f>
        <v>153323642</v>
      </c>
      <c r="AD203" s="1386">
        <f t="shared" si="241"/>
        <v>0.76661820999999997</v>
      </c>
      <c r="AE203" s="145">
        <f>SUM(AE204:AE207)</f>
        <v>28476677</v>
      </c>
      <c r="AF203" s="145">
        <f>SUM(AF204:AF207)</f>
        <v>79500000</v>
      </c>
      <c r="AG203" s="145">
        <f>SUM(AG204:AG207)</f>
        <v>79500000</v>
      </c>
      <c r="AH203" s="505">
        <f t="shared" si="242"/>
        <v>1</v>
      </c>
      <c r="AI203" s="145">
        <f t="shared" ref="AI203:AJ203" si="245">SUM(AI204:AI207)</f>
        <v>2500000000</v>
      </c>
      <c r="AJ203" s="145">
        <f t="shared" si="245"/>
        <v>358500319</v>
      </c>
      <c r="AK203" s="1321">
        <f t="shared" si="243"/>
        <v>0.14340012760000001</v>
      </c>
      <c r="AL203" s="166"/>
      <c r="AM203" s="159"/>
      <c r="AN203" s="482"/>
      <c r="AO203" s="145"/>
      <c r="AP203" s="483"/>
      <c r="AQ203" s="101"/>
    </row>
    <row r="204" spans="1:43" ht="51" x14ac:dyDescent="0.25">
      <c r="A204" s="264" t="s">
        <v>647</v>
      </c>
      <c r="B204" s="355" t="s">
        <v>819</v>
      </c>
      <c r="C204" s="380">
        <v>0</v>
      </c>
      <c r="D204" s="313">
        <v>0</v>
      </c>
      <c r="E204" s="1234">
        <v>0</v>
      </c>
      <c r="F204" s="1232"/>
      <c r="G204" s="1232"/>
      <c r="H204" s="167" t="e">
        <f t="shared" ref="H204:H207" si="246">IF((E204+G204)/C204&gt;=100%,100%,(E204+G204)/C204)</f>
        <v>#DIV/0!</v>
      </c>
      <c r="I204" s="520">
        <v>0</v>
      </c>
      <c r="K204" s="1418"/>
      <c r="L204" s="1236"/>
      <c r="M204" s="1237"/>
      <c r="N204" s="1238"/>
      <c r="O204" s="1418"/>
      <c r="P204" s="1418"/>
      <c r="Q204" s="1418"/>
      <c r="R204" s="1239"/>
      <c r="S204" s="1418"/>
      <c r="T204" s="1419">
        <v>4</v>
      </c>
      <c r="U204" s="1241">
        <f t="shared" ref="U204:U207" si="247">SUM(E204:F204)</f>
        <v>0</v>
      </c>
      <c r="V204" s="170">
        <f t="shared" ref="V204:V207" si="248">IF(U204/T204&gt;=100%,100%,U204/T204)</f>
        <v>0</v>
      </c>
      <c r="W204" s="414">
        <v>0.3</v>
      </c>
      <c r="X204" s="395">
        <v>0</v>
      </c>
      <c r="Y204" s="476" t="s">
        <v>892</v>
      </c>
      <c r="Z204" s="286" t="s">
        <v>892</v>
      </c>
      <c r="AA204" s="1388"/>
      <c r="AB204" s="208" t="e">
        <f t="shared" si="240"/>
        <v>#DIV/0!</v>
      </c>
      <c r="AC204" s="206"/>
      <c r="AD204" s="1331" t="e">
        <f t="shared" si="241"/>
        <v>#DIV/0!</v>
      </c>
      <c r="AE204" s="1430"/>
      <c r="AF204" s="1388"/>
      <c r="AG204" s="1388"/>
      <c r="AH204" s="506" t="e">
        <f t="shared" si="242"/>
        <v>#DIV/0!</v>
      </c>
      <c r="AI204" s="1255">
        <v>650000000</v>
      </c>
      <c r="AJ204" s="1255">
        <f t="shared" ref="AJ204:AJ207" si="249">+SUM(Z204:AA204)</f>
        <v>0</v>
      </c>
      <c r="AK204" s="1332">
        <f t="shared" si="243"/>
        <v>0</v>
      </c>
      <c r="AL204" s="1330"/>
      <c r="AM204" s="1248"/>
      <c r="AN204" s="1249" t="s">
        <v>302</v>
      </c>
      <c r="AO204" s="1886" t="s">
        <v>910</v>
      </c>
      <c r="AP204" s="1250"/>
      <c r="AQ204" s="1251"/>
    </row>
    <row r="205" spans="1:43" ht="51" x14ac:dyDescent="0.25">
      <c r="A205" s="264" t="s">
        <v>648</v>
      </c>
      <c r="B205" s="355" t="s">
        <v>820</v>
      </c>
      <c r="C205" s="380">
        <v>0</v>
      </c>
      <c r="D205" s="313">
        <v>0</v>
      </c>
      <c r="E205" s="1234">
        <v>0</v>
      </c>
      <c r="F205" s="1232"/>
      <c r="G205" s="1232"/>
      <c r="H205" s="167" t="e">
        <f t="shared" si="246"/>
        <v>#DIV/0!</v>
      </c>
      <c r="I205" s="520">
        <v>0</v>
      </c>
      <c r="J205" s="1418"/>
      <c r="K205" s="1418"/>
      <c r="L205" s="1236"/>
      <c r="M205" s="1237"/>
      <c r="N205" s="1238"/>
      <c r="O205" s="1418"/>
      <c r="P205" s="1418"/>
      <c r="Q205" s="1418"/>
      <c r="R205" s="1239"/>
      <c r="S205" s="1418"/>
      <c r="T205" s="1419">
        <v>23</v>
      </c>
      <c r="U205" s="1241">
        <f t="shared" si="247"/>
        <v>0</v>
      </c>
      <c r="V205" s="170">
        <f t="shared" si="248"/>
        <v>0</v>
      </c>
      <c r="W205" s="414">
        <v>0.3</v>
      </c>
      <c r="X205" s="395">
        <v>0</v>
      </c>
      <c r="Y205" s="476" t="s">
        <v>892</v>
      </c>
      <c r="Z205" s="286" t="s">
        <v>892</v>
      </c>
      <c r="AA205" s="1388"/>
      <c r="AB205" s="208" t="e">
        <f t="shared" si="240"/>
        <v>#DIV/0!</v>
      </c>
      <c r="AC205" s="206"/>
      <c r="AD205" s="1331" t="e">
        <f t="shared" si="241"/>
        <v>#DIV/0!</v>
      </c>
      <c r="AE205" s="1430"/>
      <c r="AF205" s="1388"/>
      <c r="AG205" s="1388"/>
      <c r="AH205" s="506" t="e">
        <f t="shared" si="242"/>
        <v>#DIV/0!</v>
      </c>
      <c r="AI205" s="1255">
        <v>950000000</v>
      </c>
      <c r="AJ205" s="1255">
        <f t="shared" si="249"/>
        <v>0</v>
      </c>
      <c r="AK205" s="1332">
        <f t="shared" si="243"/>
        <v>0</v>
      </c>
      <c r="AL205" s="1330"/>
      <c r="AM205" s="1248"/>
      <c r="AN205" s="1249" t="s">
        <v>302</v>
      </c>
      <c r="AO205" s="1870"/>
      <c r="AP205" s="1250"/>
      <c r="AQ205" s="1251"/>
    </row>
    <row r="206" spans="1:43" ht="76.5" x14ac:dyDescent="0.25">
      <c r="A206" s="264" t="s">
        <v>649</v>
      </c>
      <c r="B206" s="355" t="s">
        <v>821</v>
      </c>
      <c r="C206" s="381">
        <v>1</v>
      </c>
      <c r="D206" s="314">
        <v>1</v>
      </c>
      <c r="E206" s="225">
        <v>1</v>
      </c>
      <c r="F206" s="169">
        <v>1</v>
      </c>
      <c r="G206" s="1232"/>
      <c r="H206" s="167">
        <f t="shared" si="246"/>
        <v>1</v>
      </c>
      <c r="I206" s="520">
        <f t="shared" ref="I206:I207" si="250">IF(F206/D206&gt;=100%,100%,F206/D206)</f>
        <v>1</v>
      </c>
      <c r="J206" s="1418" t="s">
        <v>1016</v>
      </c>
      <c r="K206" s="1418"/>
      <c r="L206" s="1236"/>
      <c r="M206" s="1237"/>
      <c r="N206" s="1238"/>
      <c r="O206" s="1418"/>
      <c r="P206" s="1418"/>
      <c r="Q206" s="1418"/>
      <c r="R206" s="1239"/>
      <c r="S206" s="1418"/>
      <c r="T206" s="1419">
        <v>1</v>
      </c>
      <c r="U206" s="1241">
        <f t="shared" si="247"/>
        <v>2</v>
      </c>
      <c r="V206" s="170">
        <f t="shared" si="248"/>
        <v>1</v>
      </c>
      <c r="W206" s="414">
        <v>0.2</v>
      </c>
      <c r="X206" s="395">
        <v>0.5</v>
      </c>
      <c r="Y206" s="472">
        <v>100000000</v>
      </c>
      <c r="Z206" s="283">
        <v>79700000</v>
      </c>
      <c r="AA206" s="1388">
        <v>83453359</v>
      </c>
      <c r="AB206" s="208">
        <f t="shared" si="240"/>
        <v>0.83453359000000005</v>
      </c>
      <c r="AC206" s="206">
        <v>62161821</v>
      </c>
      <c r="AD206" s="1389">
        <f t="shared" si="241"/>
        <v>0.62161820999999995</v>
      </c>
      <c r="AE206" s="1247">
        <f>+AA206-AC206</f>
        <v>21291538</v>
      </c>
      <c r="AF206" s="1388">
        <v>28900000</v>
      </c>
      <c r="AG206" s="1388">
        <v>28900000</v>
      </c>
      <c r="AH206" s="506">
        <f t="shared" si="242"/>
        <v>1</v>
      </c>
      <c r="AI206" s="1255">
        <v>400000000</v>
      </c>
      <c r="AJ206" s="1255">
        <f t="shared" si="249"/>
        <v>163153359</v>
      </c>
      <c r="AK206" s="1332">
        <f t="shared" si="243"/>
        <v>0.40788339750000002</v>
      </c>
      <c r="AL206" s="1330"/>
      <c r="AM206" s="1248"/>
      <c r="AN206" s="1249" t="s">
        <v>9</v>
      </c>
      <c r="AO206" s="492" t="s">
        <v>910</v>
      </c>
      <c r="AP206" s="1250"/>
      <c r="AQ206" s="1251"/>
    </row>
    <row r="207" spans="1:43" ht="153" x14ac:dyDescent="0.25">
      <c r="A207" s="264" t="s">
        <v>650</v>
      </c>
      <c r="B207" s="355" t="s">
        <v>822</v>
      </c>
      <c r="C207" s="380">
        <v>23</v>
      </c>
      <c r="D207" s="313">
        <v>23</v>
      </c>
      <c r="E207" s="1441">
        <v>23</v>
      </c>
      <c r="F207" s="1232">
        <v>23</v>
      </c>
      <c r="G207" s="1232"/>
      <c r="H207" s="167">
        <f t="shared" si="246"/>
        <v>1</v>
      </c>
      <c r="I207" s="520">
        <f t="shared" si="250"/>
        <v>1</v>
      </c>
      <c r="J207" s="1418" t="s">
        <v>1017</v>
      </c>
      <c r="K207" s="1418"/>
      <c r="L207" s="1236"/>
      <c r="M207" s="1237"/>
      <c r="N207" s="1238"/>
      <c r="O207" s="1418"/>
      <c r="P207" s="1418"/>
      <c r="Q207" s="1418"/>
      <c r="R207" s="1239"/>
      <c r="S207" s="1418"/>
      <c r="T207" s="1419">
        <v>23</v>
      </c>
      <c r="U207" s="1241">
        <f t="shared" si="247"/>
        <v>46</v>
      </c>
      <c r="V207" s="170">
        <f t="shared" si="248"/>
        <v>1</v>
      </c>
      <c r="W207" s="414">
        <v>0.2</v>
      </c>
      <c r="X207" s="395">
        <v>0.5</v>
      </c>
      <c r="Y207" s="472">
        <v>100000000</v>
      </c>
      <c r="Z207" s="283">
        <v>97000000</v>
      </c>
      <c r="AA207" s="1388">
        <v>98346960</v>
      </c>
      <c r="AB207" s="208">
        <f t="shared" si="240"/>
        <v>0.98346960000000005</v>
      </c>
      <c r="AC207" s="206">
        <v>91161821</v>
      </c>
      <c r="AD207" s="1389">
        <f t="shared" si="241"/>
        <v>0.91161820999999998</v>
      </c>
      <c r="AE207" s="1247">
        <f>+AA207-AC207</f>
        <v>7185139</v>
      </c>
      <c r="AF207" s="1388">
        <v>50600000</v>
      </c>
      <c r="AG207" s="1388">
        <v>50600000</v>
      </c>
      <c r="AH207" s="506">
        <f t="shared" si="242"/>
        <v>1</v>
      </c>
      <c r="AI207" s="1255">
        <v>500000000</v>
      </c>
      <c r="AJ207" s="1255">
        <f t="shared" si="249"/>
        <v>195346960</v>
      </c>
      <c r="AK207" s="1332">
        <f t="shared" si="243"/>
        <v>0.39069391999999997</v>
      </c>
      <c r="AL207" s="1330"/>
      <c r="AM207" s="1248"/>
      <c r="AN207" s="1249" t="s">
        <v>302</v>
      </c>
      <c r="AO207" s="492" t="s">
        <v>910</v>
      </c>
      <c r="AP207" s="1250"/>
      <c r="AQ207" s="1251"/>
    </row>
    <row r="208" spans="1:43" ht="51" x14ac:dyDescent="0.25">
      <c r="A208" s="1201" t="s">
        <v>442</v>
      </c>
      <c r="B208" s="1202"/>
      <c r="C208" s="1203"/>
      <c r="D208" s="1204"/>
      <c r="E208" s="1205"/>
      <c r="F208" s="1203"/>
      <c r="G208" s="1203"/>
      <c r="H208" s="1206">
        <f>+(H209*0%)</f>
        <v>0</v>
      </c>
      <c r="I208" s="1260">
        <f>+(I209*X209)</f>
        <v>0</v>
      </c>
      <c r="J208" s="1413"/>
      <c r="K208" s="1413"/>
      <c r="L208" s="1207"/>
      <c r="M208" s="1208"/>
      <c r="N208" s="1208"/>
      <c r="O208" s="1413"/>
      <c r="P208" s="1413"/>
      <c r="Q208" s="1413"/>
      <c r="R208" s="1310"/>
      <c r="S208" s="1413"/>
      <c r="T208" s="1414"/>
      <c r="U208" s="1211"/>
      <c r="V208" s="1212">
        <f>+(V209*W209)</f>
        <v>0</v>
      </c>
      <c r="W208" s="1213">
        <v>0.15</v>
      </c>
      <c r="X208" s="1214">
        <v>0</v>
      </c>
      <c r="Y208" s="1215">
        <f>+Y209</f>
        <v>0</v>
      </c>
      <c r="Z208" s="1215">
        <f>+Z209</f>
        <v>0</v>
      </c>
      <c r="AA208" s="1215">
        <f>+AA209</f>
        <v>0</v>
      </c>
      <c r="AB208" s="1216" t="e">
        <f t="shared" si="240"/>
        <v>#DIV/0!</v>
      </c>
      <c r="AC208" s="1215">
        <f>+AC209</f>
        <v>0</v>
      </c>
      <c r="AD208" s="1434" t="e">
        <f t="shared" si="241"/>
        <v>#DIV/0!</v>
      </c>
      <c r="AE208" s="1215">
        <f>+AE209</f>
        <v>0</v>
      </c>
      <c r="AF208" s="1215">
        <f>+AF209</f>
        <v>0</v>
      </c>
      <c r="AG208" s="1215">
        <f>+AG209</f>
        <v>0</v>
      </c>
      <c r="AH208" s="1219" t="e">
        <f t="shared" si="242"/>
        <v>#DIV/0!</v>
      </c>
      <c r="AI208" s="1215">
        <f t="shared" ref="AI208:AJ208" si="251">+AI209</f>
        <v>3500000000</v>
      </c>
      <c r="AJ208" s="1215">
        <f t="shared" si="251"/>
        <v>0</v>
      </c>
      <c r="AK208" s="209">
        <f t="shared" si="243"/>
        <v>0</v>
      </c>
      <c r="AL208" s="161"/>
      <c r="AM208" s="1221" t="s">
        <v>298</v>
      </c>
      <c r="AN208" s="1222"/>
      <c r="AO208" s="1215"/>
      <c r="AP208" s="1223"/>
      <c r="AQ208" s="1224"/>
    </row>
    <row r="209" spans="1:43" ht="25.5" x14ac:dyDescent="0.25">
      <c r="A209" s="241" t="s">
        <v>494</v>
      </c>
      <c r="B209" s="140"/>
      <c r="C209" s="141"/>
      <c r="D209" s="187"/>
      <c r="E209" s="181"/>
      <c r="F209" s="141"/>
      <c r="G209" s="141"/>
      <c r="H209" s="142">
        <v>0</v>
      </c>
      <c r="I209" s="157">
        <f>+SUMPRODUCT(I210:I210,X210:X210)</f>
        <v>0</v>
      </c>
      <c r="J209" s="172"/>
      <c r="K209" s="172"/>
      <c r="L209" s="143"/>
      <c r="M209" s="144"/>
      <c r="N209" s="144"/>
      <c r="O209" s="172"/>
      <c r="P209" s="172"/>
      <c r="Q209" s="172"/>
      <c r="R209" s="158"/>
      <c r="S209" s="172"/>
      <c r="T209" s="193"/>
      <c r="U209" s="201"/>
      <c r="V209" s="165">
        <f>+SUMPRODUCT(V210:V210,W210:W210)</f>
        <v>0</v>
      </c>
      <c r="W209" s="142">
        <v>1</v>
      </c>
      <c r="X209" s="394">
        <v>0</v>
      </c>
      <c r="Y209" s="145">
        <f>SUM(Y210)</f>
        <v>0</v>
      </c>
      <c r="Z209" s="145">
        <f>SUM(Z210)</f>
        <v>0</v>
      </c>
      <c r="AA209" s="145">
        <f>SUM(AA210)</f>
        <v>0</v>
      </c>
      <c r="AB209" s="207" t="e">
        <f t="shared" si="240"/>
        <v>#DIV/0!</v>
      </c>
      <c r="AC209" s="145">
        <f>SUM(AC210)</f>
        <v>0</v>
      </c>
      <c r="AD209" s="588" t="e">
        <f t="shared" si="241"/>
        <v>#DIV/0!</v>
      </c>
      <c r="AE209" s="145">
        <f>SUM(AE210)</f>
        <v>0</v>
      </c>
      <c r="AF209" s="145">
        <f>SUM(AF210)</f>
        <v>0</v>
      </c>
      <c r="AG209" s="145">
        <f>SUM(AG210)</f>
        <v>0</v>
      </c>
      <c r="AH209" s="505" t="e">
        <f t="shared" si="242"/>
        <v>#DIV/0!</v>
      </c>
      <c r="AI209" s="145">
        <f t="shared" ref="AI209:AJ209" si="252">SUM(AI210)</f>
        <v>3500000000</v>
      </c>
      <c r="AJ209" s="145">
        <f t="shared" si="252"/>
        <v>0</v>
      </c>
      <c r="AK209" s="1321">
        <f t="shared" si="243"/>
        <v>0</v>
      </c>
      <c r="AL209" s="166"/>
      <c r="AM209" s="159"/>
      <c r="AN209" s="482"/>
      <c r="AO209" s="145"/>
      <c r="AP209" s="483"/>
      <c r="AQ209" s="101"/>
    </row>
    <row r="210" spans="1:43" ht="77.25" thickBot="1" x14ac:dyDescent="0.3">
      <c r="A210" s="263" t="s">
        <v>651</v>
      </c>
      <c r="B210" s="353" t="s">
        <v>823</v>
      </c>
      <c r="C210" s="1416">
        <v>0</v>
      </c>
      <c r="D210" s="1417">
        <v>0</v>
      </c>
      <c r="E210" s="1234">
        <v>0</v>
      </c>
      <c r="F210" s="1232"/>
      <c r="G210" s="1232"/>
      <c r="H210" s="167" t="e">
        <f t="shared" ref="H210" si="253">IF((E210+G210)/C210&gt;=100%,100%,(E210+G210)/C210)</f>
        <v>#DIV/0!</v>
      </c>
      <c r="I210" s="520">
        <v>0</v>
      </c>
      <c r="J210" s="1418"/>
      <c r="K210" s="1418"/>
      <c r="L210" s="1236"/>
      <c r="M210" s="1237"/>
      <c r="N210" s="1238"/>
      <c r="O210" s="1418"/>
      <c r="P210" s="1418"/>
      <c r="Q210" s="1418"/>
      <c r="R210" s="1239"/>
      <c r="S210" s="1418"/>
      <c r="T210" s="1419">
        <v>2</v>
      </c>
      <c r="U210" s="1241">
        <f t="shared" ref="U210" si="254">SUM(E210:F210)</f>
        <v>0</v>
      </c>
      <c r="V210" s="170">
        <f t="shared" ref="V210" si="255">IF(U210/T210&gt;=100%,100%,U210/T210)</f>
        <v>0</v>
      </c>
      <c r="W210" s="1327">
        <v>1</v>
      </c>
      <c r="X210" s="395">
        <v>0</v>
      </c>
      <c r="Y210" s="1339">
        <v>0</v>
      </c>
      <c r="Z210" s="1432">
        <v>0</v>
      </c>
      <c r="AA210" s="1388"/>
      <c r="AB210" s="208" t="e">
        <f t="shared" si="240"/>
        <v>#DIV/0!</v>
      </c>
      <c r="AC210" s="206"/>
      <c r="AD210" s="1331" t="e">
        <f t="shared" si="241"/>
        <v>#DIV/0!</v>
      </c>
      <c r="AE210" s="1430"/>
      <c r="AF210" s="1388"/>
      <c r="AG210" s="1388"/>
      <c r="AH210" s="506" t="e">
        <f t="shared" si="242"/>
        <v>#DIV/0!</v>
      </c>
      <c r="AI210" s="1255">
        <v>3500000000</v>
      </c>
      <c r="AJ210" s="1255">
        <f t="shared" ref="AJ210" si="256">+SUM(Z210:AA210)</f>
        <v>0</v>
      </c>
      <c r="AK210" s="1332">
        <f t="shared" si="243"/>
        <v>0</v>
      </c>
      <c r="AL210" s="1330"/>
      <c r="AM210" s="1248"/>
      <c r="AN210" s="1249" t="s">
        <v>302</v>
      </c>
      <c r="AO210" s="493" t="s">
        <v>910</v>
      </c>
      <c r="AP210" s="1250"/>
      <c r="AQ210" s="1251"/>
    </row>
    <row r="211" spans="1:43" ht="25.5" x14ac:dyDescent="0.25">
      <c r="A211" s="1174" t="s">
        <v>425</v>
      </c>
      <c r="B211" s="1289"/>
      <c r="C211" s="1290"/>
      <c r="D211" s="1291"/>
      <c r="E211" s="1292"/>
      <c r="F211" s="1290"/>
      <c r="G211" s="1290"/>
      <c r="H211" s="1180">
        <f>+(H212*W212)+(H218*W218)+(H229*W229)+(H239*W239)+(H245*W245)+(H250*W250)+(H260*W260)+(H270*W270)+(H278*W278)+(H286*W286)</f>
        <v>0.99485999999999997</v>
      </c>
      <c r="I211" s="1180">
        <f>+(I212*X212)+(I218*X218)+(I229*X229)+(I239*X239)+(I245*X245)+(I250*X250)+(I260*X260)+(I270*X270)+(I278*X278)+(I286*X286)</f>
        <v>0.88246000000000002</v>
      </c>
      <c r="J211" s="1405"/>
      <c r="K211" s="1405"/>
      <c r="L211" s="1182"/>
      <c r="M211" s="1183"/>
      <c r="N211" s="1183"/>
      <c r="O211" s="1405"/>
      <c r="P211" s="1405"/>
      <c r="Q211" s="1405"/>
      <c r="R211" s="1406"/>
      <c r="S211" s="1405"/>
      <c r="T211" s="1442"/>
      <c r="U211" s="1295"/>
      <c r="V211" s="1188">
        <f>+(V212*W212)+(V218*W218)+(V229*W229)+(V239*W239)+(V245*W245)+(V250*W250)+(V260*W260)+(V270*W270)+(V278*W278)+(V286*W286)</f>
        <v>0.64193888888888895</v>
      </c>
      <c r="W211" s="1365">
        <v>0.15</v>
      </c>
      <c r="X211" s="1297">
        <v>0.15</v>
      </c>
      <c r="Y211" s="1191">
        <f>+Y212+Y218+Y229+Y239+Y245+Y250+Y260+Y270+Y278+Y286</f>
        <v>6394000000</v>
      </c>
      <c r="Z211" s="1191">
        <f>+Z212+Z218+Z229+Z239+Z245+Z250+Z260+Z270+Z278+Z286</f>
        <v>3756011938.75</v>
      </c>
      <c r="AA211" s="1192">
        <f>+AA212+AA218+AA229+AA239+AA245+AA250+AA260+AA270+AA278+AA286</f>
        <v>5306096496.5799999</v>
      </c>
      <c r="AB211" s="1443">
        <f t="shared" si="240"/>
        <v>0.82985556718486075</v>
      </c>
      <c r="AC211" s="1192">
        <f>+AC212+AC218+AC229+AC239+AC245+AC250+AC260+AC270+AC278+AC286</f>
        <v>4098867829.7200003</v>
      </c>
      <c r="AD211" s="1408">
        <f t="shared" si="241"/>
        <v>0.64104908190803878</v>
      </c>
      <c r="AE211" s="1191">
        <f>+AE212+AE218+AE229+AE239+AE245+AE250+AE260+AE270+AE278+AE286</f>
        <v>1207228666.8599999</v>
      </c>
      <c r="AF211" s="1191">
        <f>+AF212+AF218+AF229+AF239+AF245+AF250+AF260+AF270+AF278+AF286</f>
        <v>1871280053.75</v>
      </c>
      <c r="AG211" s="1191">
        <f>+AG212+AG218+AG229+AG239+AG245+AG250+AG260+AG270+AG278+AG286</f>
        <v>1789671589.02</v>
      </c>
      <c r="AH211" s="1300">
        <f t="shared" si="242"/>
        <v>0.95638896242897553</v>
      </c>
      <c r="AI211" s="1191">
        <f>+AI212+AI218+AI229+AI239+AI245+AI250+AI260+AI270+AI278+AI286</f>
        <v>33671000000</v>
      </c>
      <c r="AJ211" s="1191">
        <f>+AJ212+AJ218+AJ229+AJ239+AJ245+AJ250+AJ260+AJ270+AJ278+AJ286</f>
        <v>9062108435.3299999</v>
      </c>
      <c r="AK211" s="1444">
        <f t="shared" si="243"/>
        <v>0.26913689630037718</v>
      </c>
      <c r="AL211" s="1445"/>
      <c r="AM211" s="1303"/>
      <c r="AN211" s="1304"/>
      <c r="AO211" s="1305"/>
      <c r="AP211" s="1306"/>
      <c r="AQ211" s="1307"/>
    </row>
    <row r="212" spans="1:43" ht="51" x14ac:dyDescent="0.25">
      <c r="A212" s="1201" t="s">
        <v>443</v>
      </c>
      <c r="B212" s="1220"/>
      <c r="C212" s="1257"/>
      <c r="D212" s="1258"/>
      <c r="E212" s="1259"/>
      <c r="F212" s="1257"/>
      <c r="G212" s="1257"/>
      <c r="H212" s="1213">
        <f>+(H213*W213)</f>
        <v>1</v>
      </c>
      <c r="I212" s="1446">
        <f>+(I213*X213)</f>
        <v>1</v>
      </c>
      <c r="J212" s="215"/>
      <c r="K212" s="215"/>
      <c r="L212" s="1221"/>
      <c r="M212" s="1222"/>
      <c r="N212" s="1222"/>
      <c r="O212" s="215"/>
      <c r="P212" s="215"/>
      <c r="Q212" s="215"/>
      <c r="R212" s="1262"/>
      <c r="S212" s="215"/>
      <c r="T212" s="216"/>
      <c r="U212" s="1265"/>
      <c r="V212" s="1447">
        <f>+(V213*W213)</f>
        <v>0.94666666666666666</v>
      </c>
      <c r="W212" s="1213">
        <v>0.1</v>
      </c>
      <c r="X212" s="1214">
        <v>0.1</v>
      </c>
      <c r="Y212" s="1215">
        <f>+Y213</f>
        <v>630000000</v>
      </c>
      <c r="Z212" s="1215">
        <f>+Z213</f>
        <v>341342657</v>
      </c>
      <c r="AA212" s="1215">
        <f>+AA213</f>
        <v>576619318.39999998</v>
      </c>
      <c r="AB212" s="1216">
        <f t="shared" si="240"/>
        <v>0.91526875936507934</v>
      </c>
      <c r="AC212" s="1215">
        <f>+AC213</f>
        <v>500799213</v>
      </c>
      <c r="AD212" s="1313">
        <f t="shared" si="241"/>
        <v>0.79491938571428566</v>
      </c>
      <c r="AE212" s="1215">
        <f>+AE213</f>
        <v>75820105.399999976</v>
      </c>
      <c r="AF212" s="1215">
        <f>+AF213</f>
        <v>28000000</v>
      </c>
      <c r="AG212" s="1215">
        <f>+AG213</f>
        <v>19001563</v>
      </c>
      <c r="AH212" s="1219">
        <f t="shared" si="242"/>
        <v>0.67862725000000002</v>
      </c>
      <c r="AI212" s="1215">
        <f>+AI213</f>
        <v>2270000000</v>
      </c>
      <c r="AJ212" s="1215">
        <f>+AJ213</f>
        <v>917961975.39999998</v>
      </c>
      <c r="AK212" s="209">
        <f t="shared" si="243"/>
        <v>0.40438853541850217</v>
      </c>
      <c r="AL212" s="161"/>
      <c r="AM212" s="1221" t="s">
        <v>301</v>
      </c>
      <c r="AN212" s="1222"/>
      <c r="AO212" s="1215"/>
      <c r="AP212" s="1223"/>
      <c r="AQ212" s="1224"/>
    </row>
    <row r="213" spans="1:43" x14ac:dyDescent="0.25">
      <c r="A213" s="241" t="s">
        <v>495</v>
      </c>
      <c r="B213" s="140"/>
      <c r="C213" s="141"/>
      <c r="D213" s="187"/>
      <c r="E213" s="181"/>
      <c r="F213" s="141"/>
      <c r="G213" s="141"/>
      <c r="H213" s="142">
        <f>+(H215*12%)+(H216*44%)+(H217*44%)</f>
        <v>1</v>
      </c>
      <c r="I213" s="157">
        <f>+SUMPRODUCT(I214:I217,X214:X217)</f>
        <v>1</v>
      </c>
      <c r="J213" s="172"/>
      <c r="K213" s="172"/>
      <c r="L213" s="143"/>
      <c r="M213" s="144"/>
      <c r="N213" s="144"/>
      <c r="O213" s="172"/>
      <c r="P213" s="172"/>
      <c r="Q213" s="172"/>
      <c r="R213" s="158"/>
      <c r="S213" s="172"/>
      <c r="T213" s="193"/>
      <c r="U213" s="201"/>
      <c r="V213" s="165">
        <f>+SUMPRODUCT(V214:V217,W214:W217)</f>
        <v>0.94666666666666666</v>
      </c>
      <c r="W213" s="142">
        <v>1</v>
      </c>
      <c r="X213" s="394">
        <v>1</v>
      </c>
      <c r="Y213" s="145">
        <f>SUM(Y214:Y217)</f>
        <v>630000000</v>
      </c>
      <c r="Z213" s="145">
        <f>SUM(Z214:Z217)</f>
        <v>341342657</v>
      </c>
      <c r="AA213" s="145">
        <f>SUM(AA214:AA217)</f>
        <v>576619318.39999998</v>
      </c>
      <c r="AB213" s="207">
        <f t="shared" si="240"/>
        <v>0.91526875936507934</v>
      </c>
      <c r="AC213" s="145">
        <f>SUM(AC214:AC217)</f>
        <v>500799213</v>
      </c>
      <c r="AD213" s="1386">
        <f t="shared" si="241"/>
        <v>0.79491938571428566</v>
      </c>
      <c r="AE213" s="145">
        <f>SUM(AE214:AE217)</f>
        <v>75820105.399999976</v>
      </c>
      <c r="AF213" s="145">
        <f>SUM(AF214:AF217)</f>
        <v>28000000</v>
      </c>
      <c r="AG213" s="145">
        <f>SUM(AG214:AG217)</f>
        <v>19001563</v>
      </c>
      <c r="AH213" s="505">
        <f t="shared" si="242"/>
        <v>0.67862725000000002</v>
      </c>
      <c r="AI213" s="145">
        <f>SUM(AI214:AI217)</f>
        <v>2270000000</v>
      </c>
      <c r="AJ213" s="145">
        <f>SUM(AJ214:AJ217)</f>
        <v>917961975.39999998</v>
      </c>
      <c r="AK213" s="1321">
        <f t="shared" si="243"/>
        <v>0.40438853541850217</v>
      </c>
      <c r="AL213" s="166"/>
      <c r="AM213" s="159"/>
      <c r="AN213" s="482"/>
      <c r="AO213" s="145"/>
      <c r="AP213" s="483"/>
      <c r="AQ213" s="101"/>
    </row>
    <row r="214" spans="1:43" ht="153" x14ac:dyDescent="0.25">
      <c r="A214" s="268" t="s">
        <v>652</v>
      </c>
      <c r="B214" s="359" t="s">
        <v>824</v>
      </c>
      <c r="C214" s="386">
        <v>0</v>
      </c>
      <c r="D214" s="319">
        <v>1</v>
      </c>
      <c r="E214" s="233">
        <v>0</v>
      </c>
      <c r="F214" s="1232">
        <v>1</v>
      </c>
      <c r="G214" s="1232"/>
      <c r="H214" s="167" t="e">
        <f t="shared" ref="H214:H217" si="257">IF((E214+G214)/C214&gt;=100%,100%,(E214+G214)/C214)</f>
        <v>#DIV/0!</v>
      </c>
      <c r="I214" s="520">
        <f t="shared" ref="I214:I217" si="258">IF(F214/D214&gt;=100%,100%,F214/D214)</f>
        <v>1</v>
      </c>
      <c r="J214" s="1418" t="s">
        <v>1018</v>
      </c>
      <c r="K214" s="1418"/>
      <c r="L214" s="1236"/>
      <c r="M214" s="1237"/>
      <c r="N214" s="1238"/>
      <c r="O214" s="1418"/>
      <c r="P214" s="1418"/>
      <c r="Q214" s="1418"/>
      <c r="R214" s="1239"/>
      <c r="S214" s="1418"/>
      <c r="T214" s="1419">
        <v>1</v>
      </c>
      <c r="U214" s="1241">
        <f t="shared" ref="U214:U217" si="259">SUM(E214:F214)</f>
        <v>1</v>
      </c>
      <c r="V214" s="170">
        <f t="shared" ref="V214:V217" si="260">IF(U214/T214&gt;=100%,100%,U214/T214)</f>
        <v>1</v>
      </c>
      <c r="W214" s="423">
        <v>0.1</v>
      </c>
      <c r="X214" s="442">
        <v>0.1</v>
      </c>
      <c r="Y214" s="479">
        <v>80000000</v>
      </c>
      <c r="Z214" s="287">
        <v>0</v>
      </c>
      <c r="AA214" s="1388">
        <v>78856872</v>
      </c>
      <c r="AB214" s="208">
        <f t="shared" si="240"/>
        <v>0.98571089999999995</v>
      </c>
      <c r="AC214" s="206">
        <v>75227275</v>
      </c>
      <c r="AD214" s="1389">
        <f t="shared" si="241"/>
        <v>0.94034093750000003</v>
      </c>
      <c r="AE214" s="1247">
        <f>+AA214-AC214</f>
        <v>3629597</v>
      </c>
      <c r="AF214" s="1388"/>
      <c r="AG214" s="1388"/>
      <c r="AH214" s="506" t="e">
        <f t="shared" si="242"/>
        <v>#DIV/0!</v>
      </c>
      <c r="AI214" s="1255">
        <v>100000000</v>
      </c>
      <c r="AJ214" s="1255">
        <f t="shared" ref="AJ214:AJ217" si="261">+SUM(Z214:AA214)</f>
        <v>78856872</v>
      </c>
      <c r="AK214" s="1390">
        <f t="shared" si="243"/>
        <v>0.78856872</v>
      </c>
      <c r="AL214" s="1330"/>
      <c r="AM214" s="1248"/>
      <c r="AN214" s="1249" t="s">
        <v>302</v>
      </c>
      <c r="AO214" s="495" t="s">
        <v>895</v>
      </c>
      <c r="AP214" s="1250"/>
      <c r="AQ214" s="1251"/>
    </row>
    <row r="215" spans="1:43" ht="140.25" x14ac:dyDescent="0.25">
      <c r="A215" s="268" t="s">
        <v>653</v>
      </c>
      <c r="B215" s="359" t="s">
        <v>825</v>
      </c>
      <c r="C215" s="386">
        <v>3</v>
      </c>
      <c r="D215" s="319">
        <v>4</v>
      </c>
      <c r="E215" s="233">
        <v>3</v>
      </c>
      <c r="F215" s="1232">
        <v>4</v>
      </c>
      <c r="G215" s="1232"/>
      <c r="H215" s="167">
        <f t="shared" si="257"/>
        <v>1</v>
      </c>
      <c r="I215" s="520">
        <f t="shared" si="258"/>
        <v>1</v>
      </c>
      <c r="J215" s="1418" t="s">
        <v>1019</v>
      </c>
      <c r="K215" s="1418"/>
      <c r="L215" s="1236"/>
      <c r="M215" s="1237"/>
      <c r="N215" s="1238"/>
      <c r="O215" s="1418"/>
      <c r="P215" s="1418"/>
      <c r="Q215" s="1418"/>
      <c r="R215" s="1239"/>
      <c r="S215" s="1418"/>
      <c r="T215" s="1419">
        <v>15</v>
      </c>
      <c r="U215" s="1241">
        <f t="shared" si="259"/>
        <v>7</v>
      </c>
      <c r="V215" s="170">
        <f t="shared" si="260"/>
        <v>0.46666666666666667</v>
      </c>
      <c r="W215" s="423">
        <v>0.1</v>
      </c>
      <c r="X215" s="442">
        <v>0.1</v>
      </c>
      <c r="Y215" s="479">
        <v>30000000</v>
      </c>
      <c r="Z215" s="287">
        <v>2112242</v>
      </c>
      <c r="AA215" s="1388">
        <v>7331359</v>
      </c>
      <c r="AB215" s="208">
        <f t="shared" si="240"/>
        <v>0.24437863333333334</v>
      </c>
      <c r="AC215" s="206">
        <v>5555028</v>
      </c>
      <c r="AD215" s="1331">
        <f t="shared" si="241"/>
        <v>0.18516759999999999</v>
      </c>
      <c r="AE215" s="1247">
        <f>+AA215-AC215</f>
        <v>1776331</v>
      </c>
      <c r="AF215" s="1388"/>
      <c r="AG215" s="1388"/>
      <c r="AH215" s="506" t="e">
        <f t="shared" si="242"/>
        <v>#DIV/0!</v>
      </c>
      <c r="AI215" s="1255">
        <v>120000000</v>
      </c>
      <c r="AJ215" s="1255">
        <f t="shared" si="261"/>
        <v>9443601</v>
      </c>
      <c r="AK215" s="1332">
        <f t="shared" si="243"/>
        <v>7.8696674999999994E-2</v>
      </c>
      <c r="AL215" s="1330"/>
      <c r="AM215" s="1248"/>
      <c r="AN215" s="1249" t="s">
        <v>302</v>
      </c>
      <c r="AO215" s="495" t="s">
        <v>925</v>
      </c>
      <c r="AP215" s="1250"/>
      <c r="AQ215" s="1251"/>
    </row>
    <row r="216" spans="1:43" ht="204" x14ac:dyDescent="0.25">
      <c r="A216" s="268" t="s">
        <v>654</v>
      </c>
      <c r="B216" s="359" t="s">
        <v>826</v>
      </c>
      <c r="C216" s="387">
        <v>0.9</v>
      </c>
      <c r="D216" s="320">
        <v>0.9</v>
      </c>
      <c r="E216" s="234">
        <v>0.9</v>
      </c>
      <c r="F216" s="169">
        <v>1</v>
      </c>
      <c r="G216" s="1232"/>
      <c r="H216" s="167">
        <f t="shared" si="257"/>
        <v>1</v>
      </c>
      <c r="I216" s="520">
        <f t="shared" si="258"/>
        <v>1</v>
      </c>
      <c r="J216" s="1418" t="s">
        <v>1020</v>
      </c>
      <c r="K216" s="1418"/>
      <c r="L216" s="1236"/>
      <c r="M216" s="1237"/>
      <c r="N216" s="1238"/>
      <c r="O216" s="1418"/>
      <c r="P216" s="1418"/>
      <c r="Q216" s="1418"/>
      <c r="R216" s="1239"/>
      <c r="S216" s="1418"/>
      <c r="T216" s="179">
        <v>0.9</v>
      </c>
      <c r="U216" s="1241">
        <f t="shared" si="259"/>
        <v>1.9</v>
      </c>
      <c r="V216" s="170">
        <f t="shared" si="260"/>
        <v>1</v>
      </c>
      <c r="W216" s="423">
        <v>0.4</v>
      </c>
      <c r="X216" s="442">
        <v>0.4</v>
      </c>
      <c r="Y216" s="479">
        <v>200000000</v>
      </c>
      <c r="Z216" s="287">
        <v>120914682</v>
      </c>
      <c r="AA216" s="1388">
        <v>179743921</v>
      </c>
      <c r="AB216" s="208">
        <f t="shared" si="240"/>
        <v>0.89871960500000003</v>
      </c>
      <c r="AC216" s="206">
        <v>123723644</v>
      </c>
      <c r="AD216" s="1389">
        <f t="shared" si="241"/>
        <v>0.61861822</v>
      </c>
      <c r="AE216" s="1247">
        <f>+AA216-AC216</f>
        <v>56020277</v>
      </c>
      <c r="AF216" s="1388">
        <v>28000000</v>
      </c>
      <c r="AG216" s="1388">
        <v>19001563</v>
      </c>
      <c r="AH216" s="506">
        <f t="shared" si="242"/>
        <v>0.67862725000000002</v>
      </c>
      <c r="AI216" s="1255">
        <v>1050000000</v>
      </c>
      <c r="AJ216" s="1255">
        <f t="shared" si="261"/>
        <v>300658603</v>
      </c>
      <c r="AK216" s="1332">
        <f t="shared" si="243"/>
        <v>0.28634152666666668</v>
      </c>
      <c r="AL216" s="1330"/>
      <c r="AM216" s="1248"/>
      <c r="AN216" s="1249" t="s">
        <v>302</v>
      </c>
      <c r="AO216" s="495" t="s">
        <v>926</v>
      </c>
      <c r="AP216" s="1250"/>
      <c r="AQ216" s="1251"/>
    </row>
    <row r="217" spans="1:43" ht="114.75" x14ac:dyDescent="0.25">
      <c r="A217" s="268" t="s">
        <v>655</v>
      </c>
      <c r="B217" s="359" t="s">
        <v>827</v>
      </c>
      <c r="C217" s="386">
        <v>10</v>
      </c>
      <c r="D217" s="319">
        <v>10</v>
      </c>
      <c r="E217" s="233">
        <v>10</v>
      </c>
      <c r="F217" s="1232">
        <v>31</v>
      </c>
      <c r="G217" s="1232"/>
      <c r="H217" s="167">
        <f t="shared" si="257"/>
        <v>1</v>
      </c>
      <c r="I217" s="520">
        <f t="shared" si="258"/>
        <v>1</v>
      </c>
      <c r="J217" s="1418" t="s">
        <v>1021</v>
      </c>
      <c r="K217" s="1418"/>
      <c r="L217" s="1236"/>
      <c r="M217" s="1237"/>
      <c r="N217" s="1238"/>
      <c r="O217" s="1418"/>
      <c r="P217" s="1418"/>
      <c r="Q217" s="1418"/>
      <c r="R217" s="1239"/>
      <c r="S217" s="1418"/>
      <c r="T217" s="1419">
        <v>40</v>
      </c>
      <c r="U217" s="1241">
        <f t="shared" si="259"/>
        <v>41</v>
      </c>
      <c r="V217" s="170">
        <f t="shared" si="260"/>
        <v>1</v>
      </c>
      <c r="W217" s="423">
        <v>0.4</v>
      </c>
      <c r="X217" s="442">
        <v>0.4</v>
      </c>
      <c r="Y217" s="479">
        <v>320000000</v>
      </c>
      <c r="Z217" s="287">
        <v>218315733</v>
      </c>
      <c r="AA217" s="1388">
        <v>310687166.39999998</v>
      </c>
      <c r="AB217" s="208">
        <f t="shared" si="240"/>
        <v>0.97089739499999994</v>
      </c>
      <c r="AC217" s="206">
        <v>296293266</v>
      </c>
      <c r="AD217" s="1389">
        <f t="shared" si="241"/>
        <v>0.92591645624999996</v>
      </c>
      <c r="AE217" s="1247">
        <f>+AA217-AC217</f>
        <v>14393900.399999976</v>
      </c>
      <c r="AF217" s="1388"/>
      <c r="AG217" s="1388"/>
      <c r="AH217" s="506" t="e">
        <f t="shared" si="242"/>
        <v>#DIV/0!</v>
      </c>
      <c r="AI217" s="1255">
        <v>1000000000</v>
      </c>
      <c r="AJ217" s="1255">
        <f t="shared" si="261"/>
        <v>529002899.39999998</v>
      </c>
      <c r="AK217" s="1390">
        <f t="shared" si="243"/>
        <v>0.5290028994</v>
      </c>
      <c r="AL217" s="1330"/>
      <c r="AM217" s="1248"/>
      <c r="AN217" s="1249" t="s">
        <v>302</v>
      </c>
      <c r="AO217" s="495" t="s">
        <v>927</v>
      </c>
      <c r="AP217" s="1250"/>
      <c r="AQ217" s="1251"/>
    </row>
    <row r="218" spans="1:43" ht="51" x14ac:dyDescent="0.25">
      <c r="A218" s="1201" t="s">
        <v>444</v>
      </c>
      <c r="B218" s="1220"/>
      <c r="C218" s="1257"/>
      <c r="D218" s="1258"/>
      <c r="E218" s="1259"/>
      <c r="F218" s="1257"/>
      <c r="G218" s="1257"/>
      <c r="H218" s="1213">
        <f>+(H219*W219)+(H227*W227)</f>
        <v>1</v>
      </c>
      <c r="I218" s="1446">
        <f>+(I219*X219)+(I227*X227)</f>
        <v>1</v>
      </c>
      <c r="J218" s="215"/>
      <c r="K218" s="215"/>
      <c r="L218" s="1221"/>
      <c r="M218" s="1222"/>
      <c r="N218" s="1222"/>
      <c r="O218" s="215"/>
      <c r="P218" s="215"/>
      <c r="Q218" s="215"/>
      <c r="R218" s="1262"/>
      <c r="S218" s="215"/>
      <c r="T218" s="216"/>
      <c r="U218" s="1265"/>
      <c r="V218" s="1447">
        <f>+(V219*W219)+(V227*W227)</f>
        <v>0.38</v>
      </c>
      <c r="W218" s="1213">
        <v>0.1</v>
      </c>
      <c r="X218" s="1214">
        <v>0.1</v>
      </c>
      <c r="Y218" s="1215">
        <f>+Y219+Y227</f>
        <v>349000000</v>
      </c>
      <c r="Z218" s="1215">
        <f>+Z219+Z227</f>
        <v>103830000</v>
      </c>
      <c r="AA218" s="1215">
        <f>+AA219+AA227</f>
        <v>170793813</v>
      </c>
      <c r="AB218" s="1216">
        <f t="shared" si="240"/>
        <v>0.48938055300859601</v>
      </c>
      <c r="AC218" s="1215">
        <f>+AC219+AC227</f>
        <v>154222709</v>
      </c>
      <c r="AD218" s="1434">
        <f t="shared" si="241"/>
        <v>0.44189887965616048</v>
      </c>
      <c r="AE218" s="1215">
        <f>+AE219+AE227</f>
        <v>16571104</v>
      </c>
      <c r="AF218" s="1215">
        <f>+AF219+AF227</f>
        <v>36600000</v>
      </c>
      <c r="AG218" s="1215">
        <f>+AG219+AG227</f>
        <v>36600000</v>
      </c>
      <c r="AH218" s="1219">
        <f t="shared" si="242"/>
        <v>1</v>
      </c>
      <c r="AI218" s="1215">
        <f t="shared" ref="AI218" si="262">+AI219+AI227</f>
        <v>1570000000</v>
      </c>
      <c r="AJ218" s="1215">
        <f>+AJ219+AJ227</f>
        <v>274623813</v>
      </c>
      <c r="AK218" s="209">
        <f t="shared" si="243"/>
        <v>0.17491962611464967</v>
      </c>
      <c r="AL218" s="161"/>
      <c r="AM218" s="1221" t="s">
        <v>301</v>
      </c>
      <c r="AN218" s="1222"/>
      <c r="AO218" s="1215"/>
      <c r="AP218" s="1223"/>
      <c r="AQ218" s="1224"/>
    </row>
    <row r="219" spans="1:43" x14ac:dyDescent="0.25">
      <c r="A219" s="241" t="s">
        <v>496</v>
      </c>
      <c r="B219" s="140"/>
      <c r="C219" s="141"/>
      <c r="D219" s="187"/>
      <c r="E219" s="181"/>
      <c r="F219" s="141"/>
      <c r="G219" s="141"/>
      <c r="H219" s="142">
        <f>+(H220*22%)+(H221*16%)+(H222*16%)+(H223*16%)++(H224*18%)+(H226*12%)</f>
        <v>1</v>
      </c>
      <c r="I219" s="157">
        <f>+SUMPRODUCT(I220:I226,X220:X226)</f>
        <v>1</v>
      </c>
      <c r="J219" s="172"/>
      <c r="K219" s="172"/>
      <c r="L219" s="143"/>
      <c r="M219" s="144"/>
      <c r="N219" s="144"/>
      <c r="O219" s="172"/>
      <c r="P219" s="172"/>
      <c r="Q219" s="172"/>
      <c r="R219" s="158"/>
      <c r="S219" s="172"/>
      <c r="T219" s="193"/>
      <c r="U219" s="201"/>
      <c r="V219" s="165">
        <f>+SUMPRODUCT(V220:V226,W220:W226)</f>
        <v>0.35</v>
      </c>
      <c r="W219" s="142">
        <v>0.8</v>
      </c>
      <c r="X219" s="394">
        <v>0.8</v>
      </c>
      <c r="Y219" s="145">
        <f>SUM(Y220:Y226)</f>
        <v>304000000</v>
      </c>
      <c r="Z219" s="145">
        <f>SUM(Z220:Z226)</f>
        <v>52830000</v>
      </c>
      <c r="AA219" s="145">
        <f>SUM(AA220:AA226)</f>
        <v>126817400</v>
      </c>
      <c r="AB219" s="207">
        <f t="shared" si="240"/>
        <v>0.41716249999999999</v>
      </c>
      <c r="AC219" s="145">
        <f>SUM(AC220:AC226)</f>
        <v>112237392</v>
      </c>
      <c r="AD219" s="588">
        <f t="shared" si="241"/>
        <v>0.36920194736842105</v>
      </c>
      <c r="AE219" s="145">
        <f>SUM(AE220:AE226)</f>
        <v>14580008</v>
      </c>
      <c r="AF219" s="145">
        <f>SUM(AF220:AF226)</f>
        <v>3600000</v>
      </c>
      <c r="AG219" s="145">
        <f>SUM(AG220:AG226)</f>
        <v>3600000</v>
      </c>
      <c r="AH219" s="505">
        <f t="shared" si="242"/>
        <v>1</v>
      </c>
      <c r="AI219" s="145">
        <f t="shared" ref="AI219" si="263">SUM(AI220:AI226)</f>
        <v>1250000000</v>
      </c>
      <c r="AJ219" s="145">
        <f>SUM(AJ220:AJ226)</f>
        <v>179647400</v>
      </c>
      <c r="AK219" s="1321">
        <f t="shared" si="243"/>
        <v>0.14371792</v>
      </c>
      <c r="AL219" s="166"/>
      <c r="AM219" s="159"/>
      <c r="AN219" s="482"/>
      <c r="AO219" s="145"/>
      <c r="AP219" s="483"/>
      <c r="AQ219" s="101"/>
    </row>
    <row r="220" spans="1:43" ht="127.5" x14ac:dyDescent="0.25">
      <c r="A220" s="269" t="s">
        <v>656</v>
      </c>
      <c r="B220" s="360" t="s">
        <v>828</v>
      </c>
      <c r="C220" s="388">
        <v>1</v>
      </c>
      <c r="D220" s="321">
        <v>1</v>
      </c>
      <c r="E220" s="1234">
        <v>1</v>
      </c>
      <c r="F220" s="1232">
        <v>1</v>
      </c>
      <c r="G220" s="1232"/>
      <c r="H220" s="167">
        <f t="shared" ref="H220:H226" si="264">IF((E220+G220)/C220&gt;=100%,100%,(E220+G220)/C220)</f>
        <v>1</v>
      </c>
      <c r="I220" s="520">
        <f t="shared" ref="I220" si="265">IF(F220/D220&gt;=100%,100%,F220/D220)</f>
        <v>1</v>
      </c>
      <c r="J220" s="1418" t="s">
        <v>1022</v>
      </c>
      <c r="K220" s="1418"/>
      <c r="L220" s="1236"/>
      <c r="M220" s="1237"/>
      <c r="N220" s="1238"/>
      <c r="O220" s="1418"/>
      <c r="P220" s="1418"/>
      <c r="Q220" s="1418"/>
      <c r="R220" s="1239"/>
      <c r="S220" s="1418"/>
      <c r="T220" s="235">
        <v>4</v>
      </c>
      <c r="U220" s="1241">
        <f t="shared" ref="U220" si="266">SUM(E220:F220)</f>
        <v>2</v>
      </c>
      <c r="V220" s="170">
        <f t="shared" ref="V220:V226" si="267">IF(U220/T220&gt;=100%,100%,U220/T220)</f>
        <v>0.5</v>
      </c>
      <c r="W220" s="424">
        <v>0.2</v>
      </c>
      <c r="X220" s="395">
        <v>0.4</v>
      </c>
      <c r="Y220" s="480">
        <v>40000000</v>
      </c>
      <c r="Z220" s="288">
        <v>8330000</v>
      </c>
      <c r="AA220" s="1388">
        <v>31878784</v>
      </c>
      <c r="AB220" s="208">
        <f t="shared" si="240"/>
        <v>0.79696959999999994</v>
      </c>
      <c r="AC220" s="206">
        <v>29804729</v>
      </c>
      <c r="AD220" s="1389">
        <f t="shared" si="241"/>
        <v>0.74511822500000002</v>
      </c>
      <c r="AE220" s="1247">
        <f t="shared" ref="AE220:AE226" si="268">+AA220-AC220</f>
        <v>2074055</v>
      </c>
      <c r="AF220" s="1388"/>
      <c r="AG220" s="1388"/>
      <c r="AH220" s="506" t="e">
        <f t="shared" si="242"/>
        <v>#DIV/0!</v>
      </c>
      <c r="AI220" s="1255">
        <v>200000000</v>
      </c>
      <c r="AJ220" s="1255">
        <f t="shared" ref="AJ220:AJ228" si="269">+SUM(Z220:AA220)</f>
        <v>40208784</v>
      </c>
      <c r="AK220" s="1332">
        <f t="shared" si="243"/>
        <v>0.20104391999999999</v>
      </c>
      <c r="AL220" s="1330"/>
      <c r="AM220" s="1248"/>
      <c r="AN220" s="1249" t="s">
        <v>302</v>
      </c>
      <c r="AO220" s="496" t="s">
        <v>928</v>
      </c>
      <c r="AP220" s="1250"/>
      <c r="AQ220" s="1251"/>
    </row>
    <row r="221" spans="1:43" ht="38.25" x14ac:dyDescent="0.25">
      <c r="A221" s="269" t="s">
        <v>657</v>
      </c>
      <c r="B221" s="360" t="s">
        <v>829</v>
      </c>
      <c r="C221" s="388">
        <v>1</v>
      </c>
      <c r="D221" s="321">
        <v>0</v>
      </c>
      <c r="E221" s="1234">
        <v>0</v>
      </c>
      <c r="F221" s="1232"/>
      <c r="G221" s="1232">
        <v>1</v>
      </c>
      <c r="H221" s="167">
        <f t="shared" si="264"/>
        <v>1</v>
      </c>
      <c r="I221" s="520">
        <v>0</v>
      </c>
      <c r="J221" s="1418"/>
      <c r="K221" s="1418"/>
      <c r="L221" s="1236"/>
      <c r="M221" s="1237"/>
      <c r="N221" s="1238"/>
      <c r="O221" s="1418"/>
      <c r="P221" s="1418"/>
      <c r="Q221" s="1418"/>
      <c r="R221" s="1239"/>
      <c r="S221" s="1418"/>
      <c r="T221" s="235">
        <v>1</v>
      </c>
      <c r="U221" s="1241">
        <f t="shared" ref="U221:U226" si="270">SUM(E221:F221)</f>
        <v>0</v>
      </c>
      <c r="V221" s="170">
        <f t="shared" si="267"/>
        <v>0</v>
      </c>
      <c r="W221" s="424">
        <v>0.15</v>
      </c>
      <c r="X221" s="395">
        <v>0</v>
      </c>
      <c r="Y221" s="1448">
        <v>40000000</v>
      </c>
      <c r="Z221" s="288">
        <v>15000000</v>
      </c>
      <c r="AA221" s="1388">
        <v>20178784</v>
      </c>
      <c r="AB221" s="208">
        <f t="shared" si="240"/>
        <v>0.50446959999999996</v>
      </c>
      <c r="AC221" s="206">
        <v>18104729</v>
      </c>
      <c r="AD221" s="1331">
        <f t="shared" si="241"/>
        <v>0.45261822499999999</v>
      </c>
      <c r="AE221" s="1247">
        <f t="shared" si="268"/>
        <v>2074055</v>
      </c>
      <c r="AF221" s="1388"/>
      <c r="AG221" s="1388"/>
      <c r="AH221" s="506" t="e">
        <f t="shared" si="242"/>
        <v>#DIV/0!</v>
      </c>
      <c r="AI221" s="1255">
        <v>240000000</v>
      </c>
      <c r="AJ221" s="1255">
        <f t="shared" si="269"/>
        <v>35178784</v>
      </c>
      <c r="AK221" s="1332">
        <f t="shared" si="243"/>
        <v>0.14657826666666668</v>
      </c>
      <c r="AL221" s="1330"/>
      <c r="AM221" s="1248"/>
      <c r="AN221" s="1249" t="s">
        <v>302</v>
      </c>
      <c r="AO221" s="1887" t="s">
        <v>928</v>
      </c>
      <c r="AP221" s="1250"/>
      <c r="AQ221" s="1251"/>
    </row>
    <row r="222" spans="1:43" ht="51" x14ac:dyDescent="0.25">
      <c r="A222" s="269" t="s">
        <v>658</v>
      </c>
      <c r="B222" s="360" t="s">
        <v>830</v>
      </c>
      <c r="C222" s="388">
        <v>1</v>
      </c>
      <c r="D222" s="321">
        <v>0</v>
      </c>
      <c r="E222" s="1234">
        <v>1</v>
      </c>
      <c r="F222" s="1232"/>
      <c r="G222" s="1232"/>
      <c r="H222" s="167">
        <f t="shared" si="264"/>
        <v>1</v>
      </c>
      <c r="I222" s="520">
        <v>0</v>
      </c>
      <c r="J222" s="1418"/>
      <c r="K222" s="1418"/>
      <c r="L222" s="1236"/>
      <c r="M222" s="1237"/>
      <c r="N222" s="1238"/>
      <c r="O222" s="1418"/>
      <c r="P222" s="1418"/>
      <c r="Q222" s="1418"/>
      <c r="R222" s="1239"/>
      <c r="S222" s="1418"/>
      <c r="T222" s="235">
        <v>2</v>
      </c>
      <c r="U222" s="1241">
        <f t="shared" si="270"/>
        <v>1</v>
      </c>
      <c r="V222" s="170">
        <f t="shared" si="267"/>
        <v>0.5</v>
      </c>
      <c r="W222" s="424">
        <v>0.15</v>
      </c>
      <c r="X222" s="395">
        <v>0</v>
      </c>
      <c r="Y222" s="1449">
        <v>40000000</v>
      </c>
      <c r="Z222" s="288">
        <v>15000000</v>
      </c>
      <c r="AA222" s="1388">
        <v>20178784</v>
      </c>
      <c r="AB222" s="208">
        <f t="shared" si="240"/>
        <v>0.50446959999999996</v>
      </c>
      <c r="AC222" s="206">
        <v>18104729</v>
      </c>
      <c r="AD222" s="1331">
        <f t="shared" si="241"/>
        <v>0.45261822499999999</v>
      </c>
      <c r="AE222" s="1247">
        <f t="shared" si="268"/>
        <v>2074055</v>
      </c>
      <c r="AF222" s="1388">
        <v>3600000</v>
      </c>
      <c r="AG222" s="1388">
        <v>3600000</v>
      </c>
      <c r="AH222" s="506">
        <f t="shared" si="242"/>
        <v>1</v>
      </c>
      <c r="AI222" s="1255">
        <v>0</v>
      </c>
      <c r="AJ222" s="1255">
        <f t="shared" si="269"/>
        <v>35178784</v>
      </c>
      <c r="AK222" s="1332" t="e">
        <f t="shared" si="243"/>
        <v>#DIV/0!</v>
      </c>
      <c r="AL222" s="1330"/>
      <c r="AM222" s="1248"/>
      <c r="AN222" s="1249" t="s">
        <v>302</v>
      </c>
      <c r="AO222" s="1874"/>
      <c r="AP222" s="1250"/>
      <c r="AQ222" s="1251"/>
    </row>
    <row r="223" spans="1:43" ht="76.5" x14ac:dyDescent="0.3">
      <c r="A223" s="269" t="s">
        <v>659</v>
      </c>
      <c r="B223" s="360" t="s">
        <v>831</v>
      </c>
      <c r="C223" s="388">
        <v>1</v>
      </c>
      <c r="D223" s="321">
        <v>0</v>
      </c>
      <c r="E223" s="1234">
        <v>0</v>
      </c>
      <c r="F223" s="1232"/>
      <c r="G223" s="1232">
        <v>1</v>
      </c>
      <c r="H223" s="167">
        <f t="shared" si="264"/>
        <v>1</v>
      </c>
      <c r="I223" s="520">
        <v>0</v>
      </c>
      <c r="J223" s="1418"/>
      <c r="K223" s="1418"/>
      <c r="L223" s="1236"/>
      <c r="M223" s="1237"/>
      <c r="N223" s="1238"/>
      <c r="O223" s="1418"/>
      <c r="P223" s="1418"/>
      <c r="Q223" s="1418"/>
      <c r="R223" s="1239"/>
      <c r="S223" s="1418"/>
      <c r="T223" s="235">
        <v>3</v>
      </c>
      <c r="U223" s="1241">
        <f t="shared" si="270"/>
        <v>0</v>
      </c>
      <c r="V223" s="170">
        <f t="shared" si="267"/>
        <v>0</v>
      </c>
      <c r="W223" s="424">
        <v>0.15</v>
      </c>
      <c r="X223" s="395">
        <v>0</v>
      </c>
      <c r="Y223" s="1450">
        <v>30000000</v>
      </c>
      <c r="Z223" s="288">
        <v>0</v>
      </c>
      <c r="AA223" s="1388">
        <v>19534088</v>
      </c>
      <c r="AB223" s="208">
        <f t="shared" si="240"/>
        <v>0.65113626666666669</v>
      </c>
      <c r="AC223" s="206">
        <v>17978547</v>
      </c>
      <c r="AD223" s="1389">
        <f t="shared" si="241"/>
        <v>0.59928490000000001</v>
      </c>
      <c r="AE223" s="1247">
        <f t="shared" si="268"/>
        <v>1555541</v>
      </c>
      <c r="AF223" s="1388"/>
      <c r="AG223" s="1388"/>
      <c r="AH223" s="506" t="e">
        <f t="shared" si="242"/>
        <v>#DIV/0!</v>
      </c>
      <c r="AI223" s="1255">
        <v>0</v>
      </c>
      <c r="AJ223" s="1255">
        <f t="shared" si="269"/>
        <v>19534088</v>
      </c>
      <c r="AK223" s="1332" t="e">
        <f t="shared" si="243"/>
        <v>#DIV/0!</v>
      </c>
      <c r="AL223" s="1330"/>
      <c r="AM223" s="1248"/>
      <c r="AN223" s="1249" t="s">
        <v>302</v>
      </c>
      <c r="AO223" s="1874"/>
      <c r="AP223" s="1250"/>
      <c r="AQ223" s="1251"/>
    </row>
    <row r="224" spans="1:43" ht="191.25" x14ac:dyDescent="0.25">
      <c r="A224" s="269" t="s">
        <v>660</v>
      </c>
      <c r="B224" s="360" t="s">
        <v>832</v>
      </c>
      <c r="C224" s="388">
        <v>1</v>
      </c>
      <c r="D224" s="321">
        <v>1</v>
      </c>
      <c r="E224" s="1234">
        <v>1</v>
      </c>
      <c r="F224" s="1232">
        <v>1</v>
      </c>
      <c r="G224" s="1232"/>
      <c r="H224" s="167">
        <f t="shared" si="264"/>
        <v>1</v>
      </c>
      <c r="I224" s="520">
        <f t="shared" ref="I224:I226" si="271">IF(F224/D224&gt;=100%,100%,F224/D224)</f>
        <v>1</v>
      </c>
      <c r="J224" s="1418" t="s">
        <v>1023</v>
      </c>
      <c r="K224" s="1418"/>
      <c r="L224" s="1236"/>
      <c r="M224" s="1237"/>
      <c r="N224" s="1238"/>
      <c r="O224" s="1418"/>
      <c r="P224" s="1418"/>
      <c r="Q224" s="1418"/>
      <c r="R224" s="1239"/>
      <c r="S224" s="1418"/>
      <c r="T224" s="235">
        <v>4</v>
      </c>
      <c r="U224" s="1241">
        <f t="shared" si="270"/>
        <v>2</v>
      </c>
      <c r="V224" s="170">
        <f t="shared" si="267"/>
        <v>0.5</v>
      </c>
      <c r="W224" s="424">
        <v>0.15</v>
      </c>
      <c r="X224" s="395">
        <v>0.3</v>
      </c>
      <c r="Y224" s="480">
        <v>130000000</v>
      </c>
      <c r="Z224" s="288">
        <v>14500000</v>
      </c>
      <c r="AA224" s="1388">
        <v>32646960</v>
      </c>
      <c r="AB224" s="208">
        <f t="shared" si="240"/>
        <v>0.25113046153846152</v>
      </c>
      <c r="AC224" s="206">
        <v>27461821</v>
      </c>
      <c r="AD224" s="1331">
        <f t="shared" si="241"/>
        <v>0.21124477692307692</v>
      </c>
      <c r="AE224" s="1247">
        <f t="shared" si="268"/>
        <v>5185139</v>
      </c>
      <c r="AF224" s="1388"/>
      <c r="AG224" s="1388"/>
      <c r="AH224" s="506" t="e">
        <f t="shared" si="242"/>
        <v>#DIV/0!</v>
      </c>
      <c r="AI224" s="1255">
        <v>650000000</v>
      </c>
      <c r="AJ224" s="1255">
        <f t="shared" si="269"/>
        <v>47146960</v>
      </c>
      <c r="AK224" s="1332">
        <f t="shared" si="243"/>
        <v>7.2533784615384622E-2</v>
      </c>
      <c r="AL224" s="1330"/>
      <c r="AM224" s="1248"/>
      <c r="AN224" s="1249" t="s">
        <v>302</v>
      </c>
      <c r="AO224" s="1874"/>
      <c r="AP224" s="1250"/>
      <c r="AQ224" s="1251"/>
    </row>
    <row r="225" spans="1:43" ht="127.5" x14ac:dyDescent="0.25">
      <c r="A225" s="269" t="s">
        <v>661</v>
      </c>
      <c r="B225" s="360" t="s">
        <v>833</v>
      </c>
      <c r="C225" s="388">
        <v>0</v>
      </c>
      <c r="D225" s="321">
        <v>1</v>
      </c>
      <c r="E225" s="1234">
        <v>0</v>
      </c>
      <c r="F225" s="1232">
        <v>1</v>
      </c>
      <c r="G225" s="1232"/>
      <c r="H225" s="167" t="e">
        <f t="shared" si="264"/>
        <v>#DIV/0!</v>
      </c>
      <c r="I225" s="520">
        <f t="shared" si="271"/>
        <v>1</v>
      </c>
      <c r="J225" s="1418" t="s">
        <v>1024</v>
      </c>
      <c r="K225" s="1418"/>
      <c r="L225" s="1236"/>
      <c r="M225" s="1237"/>
      <c r="N225" s="1238"/>
      <c r="O225" s="1418"/>
      <c r="P225" s="1418"/>
      <c r="Q225" s="1418"/>
      <c r="R225" s="1239"/>
      <c r="S225" s="1418"/>
      <c r="T225" s="235">
        <v>2</v>
      </c>
      <c r="U225" s="1241">
        <f t="shared" si="270"/>
        <v>1</v>
      </c>
      <c r="V225" s="170">
        <f t="shared" si="267"/>
        <v>0.5</v>
      </c>
      <c r="W225" s="424">
        <v>0.1</v>
      </c>
      <c r="X225" s="395">
        <v>0.15</v>
      </c>
      <c r="Y225" s="480">
        <v>15000000</v>
      </c>
      <c r="Z225" s="288">
        <v>0</v>
      </c>
      <c r="AA225" s="1388">
        <v>1500000</v>
      </c>
      <c r="AB225" s="208">
        <f t="shared" si="240"/>
        <v>0.1</v>
      </c>
      <c r="AC225" s="206">
        <v>489273</v>
      </c>
      <c r="AD225" s="1331">
        <f t="shared" si="241"/>
        <v>3.26182E-2</v>
      </c>
      <c r="AE225" s="1247">
        <f t="shared" si="268"/>
        <v>1010727</v>
      </c>
      <c r="AF225" s="1388"/>
      <c r="AG225" s="1388"/>
      <c r="AH225" s="506" t="e">
        <f t="shared" si="242"/>
        <v>#DIV/0!</v>
      </c>
      <c r="AI225" s="1255">
        <v>80000000</v>
      </c>
      <c r="AJ225" s="1255">
        <f t="shared" si="269"/>
        <v>1500000</v>
      </c>
      <c r="AK225" s="1332">
        <f t="shared" si="243"/>
        <v>1.8749999999999999E-2</v>
      </c>
      <c r="AL225" s="1330"/>
      <c r="AM225" s="1248"/>
      <c r="AN225" s="1249" t="s">
        <v>302</v>
      </c>
      <c r="AO225" s="1870"/>
      <c r="AP225" s="1250"/>
      <c r="AQ225" s="1251"/>
    </row>
    <row r="226" spans="1:43" ht="76.5" x14ac:dyDescent="0.25">
      <c r="A226" s="269" t="s">
        <v>662</v>
      </c>
      <c r="B226" s="360" t="s">
        <v>834</v>
      </c>
      <c r="C226" s="388">
        <v>1</v>
      </c>
      <c r="D226" s="321">
        <v>1</v>
      </c>
      <c r="E226" s="1234">
        <v>1</v>
      </c>
      <c r="F226" s="1232">
        <v>1</v>
      </c>
      <c r="G226" s="1232"/>
      <c r="H226" s="167">
        <f t="shared" si="264"/>
        <v>1</v>
      </c>
      <c r="I226" s="520">
        <f t="shared" si="271"/>
        <v>1</v>
      </c>
      <c r="J226" s="1418" t="s">
        <v>1025</v>
      </c>
      <c r="K226" s="1418"/>
      <c r="L226" s="1236"/>
      <c r="M226" s="1237"/>
      <c r="N226" s="1238"/>
      <c r="O226" s="1418"/>
      <c r="P226" s="1418"/>
      <c r="Q226" s="1418"/>
      <c r="R226" s="1239"/>
      <c r="S226" s="1418"/>
      <c r="T226" s="235">
        <v>4</v>
      </c>
      <c r="U226" s="1241">
        <f t="shared" si="270"/>
        <v>2</v>
      </c>
      <c r="V226" s="170">
        <f t="shared" si="267"/>
        <v>0.5</v>
      </c>
      <c r="W226" s="424">
        <v>0.1</v>
      </c>
      <c r="X226" s="395">
        <v>0.15</v>
      </c>
      <c r="Y226" s="480">
        <v>9000000</v>
      </c>
      <c r="Z226" s="288">
        <v>0</v>
      </c>
      <c r="AA226" s="1388">
        <v>900000</v>
      </c>
      <c r="AB226" s="208">
        <f t="shared" si="240"/>
        <v>0.1</v>
      </c>
      <c r="AC226" s="206">
        <v>293564</v>
      </c>
      <c r="AD226" s="1331">
        <f t="shared" si="241"/>
        <v>3.2618222222222222E-2</v>
      </c>
      <c r="AE226" s="1247">
        <f t="shared" si="268"/>
        <v>606436</v>
      </c>
      <c r="AF226" s="1388"/>
      <c r="AG226" s="1388"/>
      <c r="AH226" s="506" t="e">
        <f t="shared" si="242"/>
        <v>#DIV/0!</v>
      </c>
      <c r="AI226" s="1255">
        <v>80000000</v>
      </c>
      <c r="AJ226" s="1255">
        <f t="shared" si="269"/>
        <v>900000</v>
      </c>
      <c r="AK226" s="1332">
        <f t="shared" si="243"/>
        <v>1.125E-2</v>
      </c>
      <c r="AL226" s="1330"/>
      <c r="AM226" s="1248"/>
      <c r="AN226" s="1249" t="s">
        <v>302</v>
      </c>
      <c r="AO226" s="496" t="s">
        <v>928</v>
      </c>
      <c r="AP226" s="1250"/>
      <c r="AQ226" s="1251"/>
    </row>
    <row r="227" spans="1:43" ht="25.5" x14ac:dyDescent="0.25">
      <c r="A227" s="241" t="s">
        <v>497</v>
      </c>
      <c r="B227" s="140"/>
      <c r="C227" s="141"/>
      <c r="D227" s="187"/>
      <c r="E227" s="181"/>
      <c r="F227" s="141"/>
      <c r="G227" s="141"/>
      <c r="H227" s="142">
        <f>+SUMPRODUCT(H228:H228,W228:W228)</f>
        <v>1</v>
      </c>
      <c r="I227" s="157">
        <f>+SUMPRODUCT(I228:I228,X228:X228)</f>
        <v>1</v>
      </c>
      <c r="J227" s="172"/>
      <c r="K227" s="172"/>
      <c r="L227" s="143"/>
      <c r="M227" s="144"/>
      <c r="N227" s="144"/>
      <c r="O227" s="172"/>
      <c r="P227" s="172"/>
      <c r="Q227" s="172"/>
      <c r="R227" s="158"/>
      <c r="S227" s="172"/>
      <c r="T227" s="193"/>
      <c r="U227" s="202"/>
      <c r="V227" s="165">
        <f>+SUMPRODUCT(V228:V228,W228:W228)</f>
        <v>0.5</v>
      </c>
      <c r="W227" s="142">
        <v>0.2</v>
      </c>
      <c r="X227" s="394">
        <v>0.2</v>
      </c>
      <c r="Y227" s="145">
        <f>SUM(Y228)</f>
        <v>45000000</v>
      </c>
      <c r="Z227" s="145">
        <f>SUM(Z228)</f>
        <v>51000000</v>
      </c>
      <c r="AA227" s="145">
        <f>SUM(AA228)</f>
        <v>43976413</v>
      </c>
      <c r="AB227" s="207">
        <f t="shared" si="240"/>
        <v>0.97725362222222223</v>
      </c>
      <c r="AC227" s="145">
        <f>SUM(AC228)</f>
        <v>41985317</v>
      </c>
      <c r="AD227" s="1386">
        <f t="shared" si="241"/>
        <v>0.93300704444444449</v>
      </c>
      <c r="AE227" s="145">
        <f>SUM(AE228)</f>
        <v>1991096</v>
      </c>
      <c r="AF227" s="145">
        <f>SUM(AF228)</f>
        <v>33000000</v>
      </c>
      <c r="AG227" s="145">
        <f>SUM(AG228)</f>
        <v>33000000</v>
      </c>
      <c r="AH227" s="505">
        <f t="shared" si="242"/>
        <v>1</v>
      </c>
      <c r="AI227" s="145">
        <f t="shared" ref="AI227:AJ227" si="272">SUM(AI228)</f>
        <v>320000000</v>
      </c>
      <c r="AJ227" s="145">
        <f t="shared" si="272"/>
        <v>94976413</v>
      </c>
      <c r="AK227" s="1321">
        <f t="shared" si="243"/>
        <v>0.29680129062499999</v>
      </c>
      <c r="AL227" s="166"/>
      <c r="AM227" s="159"/>
      <c r="AN227" s="482"/>
      <c r="AO227" s="145"/>
      <c r="AP227" s="483"/>
      <c r="AQ227" s="101"/>
    </row>
    <row r="228" spans="1:43" ht="114.75" x14ac:dyDescent="0.25">
      <c r="A228" s="270" t="s">
        <v>663</v>
      </c>
      <c r="B228" s="361" t="s">
        <v>835</v>
      </c>
      <c r="C228" s="388">
        <v>1</v>
      </c>
      <c r="D228" s="321">
        <v>1</v>
      </c>
      <c r="E228" s="1234">
        <v>1</v>
      </c>
      <c r="F228" s="1232">
        <v>1</v>
      </c>
      <c r="G228" s="1232"/>
      <c r="H228" s="167">
        <f t="shared" ref="H228" si="273">IF((E228+G228)/C228&gt;=100%,100%,(E228+G228)/C228)</f>
        <v>1</v>
      </c>
      <c r="I228" s="520">
        <f t="shared" ref="I228" si="274">IF(F228/D228&gt;=100%,100%,F228/D228)</f>
        <v>1</v>
      </c>
      <c r="J228" s="1418" t="s">
        <v>1026</v>
      </c>
      <c r="K228" s="1418"/>
      <c r="L228" s="1236"/>
      <c r="M228" s="1237"/>
      <c r="N228" s="1238"/>
      <c r="O228" s="1418"/>
      <c r="P228" s="1418"/>
      <c r="Q228" s="1418"/>
      <c r="R228" s="1239"/>
      <c r="S228" s="1418"/>
      <c r="T228" s="235">
        <v>4</v>
      </c>
      <c r="U228" s="1241">
        <f t="shared" ref="U228" si="275">SUM(E228:F228)</f>
        <v>2</v>
      </c>
      <c r="V228" s="170">
        <f t="shared" ref="V228" si="276">IF(U228/T228&gt;=100%,100%,U228/T228)</f>
        <v>0.5</v>
      </c>
      <c r="W228" s="1327">
        <v>1</v>
      </c>
      <c r="X228" s="395">
        <v>1</v>
      </c>
      <c r="Y228" s="481">
        <v>45000000</v>
      </c>
      <c r="Z228" s="289">
        <v>51000000</v>
      </c>
      <c r="AA228" s="1388">
        <v>43976413</v>
      </c>
      <c r="AB228" s="208">
        <f t="shared" si="240"/>
        <v>0.97725362222222223</v>
      </c>
      <c r="AC228" s="206">
        <v>41985317</v>
      </c>
      <c r="AD228" s="1389">
        <f t="shared" si="241"/>
        <v>0.93300704444444449</v>
      </c>
      <c r="AE228" s="1247">
        <f>+AA228-AC228</f>
        <v>1991096</v>
      </c>
      <c r="AF228" s="1388">
        <v>33000000</v>
      </c>
      <c r="AG228" s="1388">
        <v>33000000</v>
      </c>
      <c r="AH228" s="506">
        <f t="shared" si="242"/>
        <v>1</v>
      </c>
      <c r="AI228" s="1255">
        <v>320000000</v>
      </c>
      <c r="AJ228" s="1255">
        <f t="shared" si="269"/>
        <v>94976413</v>
      </c>
      <c r="AK228" s="1332">
        <f t="shared" si="243"/>
        <v>0.29680129062499999</v>
      </c>
      <c r="AL228" s="1330"/>
      <c r="AM228" s="1248"/>
      <c r="AN228" s="1249" t="s">
        <v>302</v>
      </c>
      <c r="AO228" s="497" t="s">
        <v>928</v>
      </c>
      <c r="AP228" s="1250"/>
      <c r="AQ228" s="1251"/>
    </row>
    <row r="229" spans="1:43" ht="51" x14ac:dyDescent="0.25">
      <c r="A229" s="1201" t="s">
        <v>445</v>
      </c>
      <c r="B229" s="1220"/>
      <c r="C229" s="1257"/>
      <c r="D229" s="1258"/>
      <c r="E229" s="1259"/>
      <c r="F229" s="1257"/>
      <c r="G229" s="1257"/>
      <c r="H229" s="1213">
        <f>+(H230*0%)+(H234*100%)</f>
        <v>1</v>
      </c>
      <c r="I229" s="1446">
        <f>+(I230*X230)+(I234*X234)</f>
        <v>0.87200000000000011</v>
      </c>
      <c r="J229" s="215"/>
      <c r="K229" s="215"/>
      <c r="L229" s="1221"/>
      <c r="M229" s="1222"/>
      <c r="N229" s="1222"/>
      <c r="O229" s="215"/>
      <c r="P229" s="215"/>
      <c r="Q229" s="215"/>
      <c r="R229" s="1262"/>
      <c r="S229" s="215"/>
      <c r="T229" s="216"/>
      <c r="U229" s="1265"/>
      <c r="V229" s="1447">
        <f>+(V230*W30)+(V234*W234)</f>
        <v>0.57999999999999985</v>
      </c>
      <c r="W229" s="1213">
        <v>0.1</v>
      </c>
      <c r="X229" s="1214">
        <v>0.1</v>
      </c>
      <c r="Y229" s="1215">
        <f>+Y230+Y234</f>
        <v>1300000000</v>
      </c>
      <c r="Z229" s="1215">
        <f>+Z230+Z234</f>
        <v>1216381367</v>
      </c>
      <c r="AA229" s="1215">
        <f>+AA230+AA234</f>
        <v>1068130934</v>
      </c>
      <c r="AB229" s="1216">
        <f t="shared" si="240"/>
        <v>0.82163918000000002</v>
      </c>
      <c r="AC229" s="1215">
        <f>+AC230+AC234</f>
        <v>924899955</v>
      </c>
      <c r="AD229" s="1313">
        <f t="shared" si="241"/>
        <v>0.71146150384615381</v>
      </c>
      <c r="AE229" s="1215">
        <f>+AE230+AE234</f>
        <v>143230979</v>
      </c>
      <c r="AF229" s="1215">
        <f>+AF230+AF234</f>
        <v>1154381367</v>
      </c>
      <c r="AG229" s="1215">
        <f>+AG230+AG234</f>
        <v>1144381367</v>
      </c>
      <c r="AH229" s="1219">
        <f t="shared" si="242"/>
        <v>0.99133735151496083</v>
      </c>
      <c r="AI229" s="1215">
        <f t="shared" ref="AI229" si="277">+AI230+AI234</f>
        <v>5700000000</v>
      </c>
      <c r="AJ229" s="1215">
        <f>+AJ230+AJ234</f>
        <v>2284512301</v>
      </c>
      <c r="AK229" s="209">
        <f t="shared" si="243"/>
        <v>0.40079163175438598</v>
      </c>
      <c r="AL229" s="161"/>
      <c r="AM229" s="1221" t="s">
        <v>301</v>
      </c>
      <c r="AN229" s="1222"/>
      <c r="AO229" s="1215"/>
      <c r="AP229" s="1223"/>
      <c r="AQ229" s="1224"/>
    </row>
    <row r="230" spans="1:43" x14ac:dyDescent="0.25">
      <c r="A230" s="241" t="s">
        <v>498</v>
      </c>
      <c r="B230" s="140"/>
      <c r="C230" s="141"/>
      <c r="D230" s="187"/>
      <c r="E230" s="181"/>
      <c r="F230" s="141"/>
      <c r="G230" s="141"/>
      <c r="H230" s="142">
        <v>0</v>
      </c>
      <c r="I230" s="157">
        <f>+SUMPRODUCT(I231:I233,X231:X233)</f>
        <v>0.6</v>
      </c>
      <c r="J230" s="172"/>
      <c r="K230" s="172"/>
      <c r="L230" s="143"/>
      <c r="M230" s="144"/>
      <c r="N230" s="144"/>
      <c r="O230" s="172"/>
      <c r="P230" s="172"/>
      <c r="Q230" s="172"/>
      <c r="R230" s="158"/>
      <c r="S230" s="172"/>
      <c r="T230" s="193"/>
      <c r="U230" s="201"/>
      <c r="V230" s="165">
        <f>+SUMPRODUCT(V231:V233,W231:W233)</f>
        <v>0.13333333333333333</v>
      </c>
      <c r="W230" s="142">
        <v>0.2</v>
      </c>
      <c r="X230" s="394">
        <v>0.2</v>
      </c>
      <c r="Y230" s="145">
        <f>SUM(Y231:Y233)</f>
        <v>140000000</v>
      </c>
      <c r="Z230" s="145">
        <f>SUM(Z231:Z233)</f>
        <v>0</v>
      </c>
      <c r="AA230" s="145">
        <f>SUM(AA231:AA233)</f>
        <v>12626203</v>
      </c>
      <c r="AB230" s="207">
        <f t="shared" si="240"/>
        <v>9.0187164285714286E-2</v>
      </c>
      <c r="AC230" s="145">
        <f>SUM(AC231:AC233)</f>
        <v>4098282</v>
      </c>
      <c r="AD230" s="588">
        <f t="shared" si="241"/>
        <v>2.9273442857142857E-2</v>
      </c>
      <c r="AE230" s="145">
        <f>SUM(AE231:AE233)</f>
        <v>8527921</v>
      </c>
      <c r="AF230" s="145">
        <f>SUM(AF231:AF233)</f>
        <v>0</v>
      </c>
      <c r="AG230" s="145">
        <f>SUM(AG231:AG233)</f>
        <v>0</v>
      </c>
      <c r="AH230" s="505" t="e">
        <f t="shared" si="242"/>
        <v>#DIV/0!</v>
      </c>
      <c r="AI230" s="145">
        <f t="shared" ref="AI230" si="278">SUM(AI231:AI233)</f>
        <v>450000000</v>
      </c>
      <c r="AJ230" s="145">
        <f>SUM(AJ231:AJ233)</f>
        <v>12626203</v>
      </c>
      <c r="AK230" s="1321">
        <f t="shared" si="243"/>
        <v>2.8058228888888891E-2</v>
      </c>
      <c r="AL230" s="166"/>
      <c r="AM230" s="159"/>
      <c r="AN230" s="482"/>
      <c r="AO230" s="145"/>
      <c r="AP230" s="483"/>
      <c r="AQ230" s="101"/>
    </row>
    <row r="231" spans="1:43" ht="191.25" x14ac:dyDescent="0.25">
      <c r="A231" s="269" t="s">
        <v>664</v>
      </c>
      <c r="B231" s="360" t="s">
        <v>836</v>
      </c>
      <c r="C231" s="389">
        <v>0</v>
      </c>
      <c r="D231" s="186">
        <v>1</v>
      </c>
      <c r="E231" s="296">
        <v>0</v>
      </c>
      <c r="F231" s="1232">
        <v>1</v>
      </c>
      <c r="G231" s="1232"/>
      <c r="H231" s="167" t="e">
        <f t="shared" ref="H231:H233" si="279">IF((E231+G231)/C231&gt;=100%,100%,(E231+G231)/C231)</f>
        <v>#DIV/0!</v>
      </c>
      <c r="I231" s="520">
        <f t="shared" ref="I231:I232" si="280">IF(F231/D231&gt;=100%,100%,F231/D231)</f>
        <v>1</v>
      </c>
      <c r="J231" s="1418" t="s">
        <v>1027</v>
      </c>
      <c r="K231" s="1418"/>
      <c r="L231" s="1236"/>
      <c r="M231" s="1237"/>
      <c r="N231" s="1238"/>
      <c r="O231" s="1418"/>
      <c r="P231" s="1418"/>
      <c r="Q231" s="1418"/>
      <c r="R231" s="1239"/>
      <c r="S231" s="1418"/>
      <c r="T231" s="1419">
        <v>3</v>
      </c>
      <c r="U231" s="1241">
        <f t="shared" ref="U231:U233" si="281">SUM(E231:F231)</f>
        <v>1</v>
      </c>
      <c r="V231" s="170">
        <f t="shared" ref="V231:V233" si="282">IF(U231/T231&gt;=100%,100%,U231/T231)</f>
        <v>0.33333333333333331</v>
      </c>
      <c r="W231" s="424">
        <v>0.4</v>
      </c>
      <c r="X231" s="395">
        <v>0.6</v>
      </c>
      <c r="Y231" s="512">
        <v>50000000</v>
      </c>
      <c r="Z231" s="289">
        <v>0</v>
      </c>
      <c r="AA231" s="1388">
        <v>4156650</v>
      </c>
      <c r="AB231" s="208">
        <f t="shared" si="240"/>
        <v>8.3132999999999999E-2</v>
      </c>
      <c r="AC231" s="206">
        <v>1343991</v>
      </c>
      <c r="AD231" s="1331">
        <f t="shared" si="241"/>
        <v>2.6879819999999999E-2</v>
      </c>
      <c r="AE231" s="1247">
        <f>+AA231-AC231</f>
        <v>2812659</v>
      </c>
      <c r="AF231" s="1388"/>
      <c r="AG231" s="1388"/>
      <c r="AH231" s="506" t="e">
        <f t="shared" si="242"/>
        <v>#DIV/0!</v>
      </c>
      <c r="AI231" s="1255">
        <f>450000000/3</f>
        <v>150000000</v>
      </c>
      <c r="AJ231" s="1255">
        <f t="shared" ref="AJ231:AJ238" si="283">+SUM(Z231:AA231)</f>
        <v>4156650</v>
      </c>
      <c r="AK231" s="1332">
        <f t="shared" si="243"/>
        <v>2.7711E-2</v>
      </c>
      <c r="AL231" s="1330"/>
      <c r="AM231" s="1248"/>
      <c r="AN231" s="1249" t="s">
        <v>302</v>
      </c>
      <c r="AO231" s="496" t="s">
        <v>895</v>
      </c>
      <c r="AP231" s="1250"/>
      <c r="AQ231" s="1251"/>
    </row>
    <row r="232" spans="1:43" ht="63.75" x14ac:dyDescent="0.25">
      <c r="A232" s="269" t="s">
        <v>665</v>
      </c>
      <c r="B232" s="360" t="s">
        <v>837</v>
      </c>
      <c r="C232" s="389">
        <v>0</v>
      </c>
      <c r="D232" s="237">
        <v>1</v>
      </c>
      <c r="E232" s="297">
        <v>0</v>
      </c>
      <c r="F232" s="1232">
        <v>0</v>
      </c>
      <c r="G232" s="1232"/>
      <c r="H232" s="167" t="e">
        <f t="shared" si="279"/>
        <v>#DIV/0!</v>
      </c>
      <c r="I232" s="520">
        <f t="shared" si="280"/>
        <v>0</v>
      </c>
      <c r="J232" s="1418" t="s">
        <v>1028</v>
      </c>
      <c r="K232" s="1418"/>
      <c r="L232" s="1236"/>
      <c r="M232" s="1237"/>
      <c r="N232" s="1238"/>
      <c r="O232" s="1418"/>
      <c r="P232" s="1418"/>
      <c r="Q232" s="1418"/>
      <c r="R232" s="1239"/>
      <c r="S232" s="1418"/>
      <c r="T232" s="1419">
        <v>2</v>
      </c>
      <c r="U232" s="1241">
        <f t="shared" si="281"/>
        <v>0</v>
      </c>
      <c r="V232" s="170">
        <f t="shared" si="282"/>
        <v>0</v>
      </c>
      <c r="W232" s="424">
        <v>0.3</v>
      </c>
      <c r="X232" s="395">
        <v>0.4</v>
      </c>
      <c r="Y232" s="512">
        <v>50000000</v>
      </c>
      <c r="Z232" s="289">
        <v>0</v>
      </c>
      <c r="AA232" s="1388">
        <v>4156650</v>
      </c>
      <c r="AB232" s="208">
        <f t="shared" si="240"/>
        <v>8.3132999999999999E-2</v>
      </c>
      <c r="AC232" s="206">
        <v>1343991</v>
      </c>
      <c r="AD232" s="1331">
        <f t="shared" si="241"/>
        <v>2.6879819999999999E-2</v>
      </c>
      <c r="AE232" s="1247">
        <f>+AA232-AC232</f>
        <v>2812659</v>
      </c>
      <c r="AF232" s="1388"/>
      <c r="AG232" s="1388"/>
      <c r="AH232" s="506" t="e">
        <f t="shared" si="242"/>
        <v>#DIV/0!</v>
      </c>
      <c r="AI232" s="1255">
        <f t="shared" ref="AI232:AI233" si="284">450000000/3</f>
        <v>150000000</v>
      </c>
      <c r="AJ232" s="1255">
        <f t="shared" si="283"/>
        <v>4156650</v>
      </c>
      <c r="AK232" s="1332">
        <f t="shared" si="243"/>
        <v>2.7711E-2</v>
      </c>
      <c r="AL232" s="1330"/>
      <c r="AM232" s="1248"/>
      <c r="AN232" s="1249" t="s">
        <v>302</v>
      </c>
      <c r="AO232" s="496" t="s">
        <v>895</v>
      </c>
      <c r="AP232" s="1250"/>
      <c r="AQ232" s="1251"/>
    </row>
    <row r="233" spans="1:43" ht="38.25" x14ac:dyDescent="0.25">
      <c r="A233" s="269" t="s">
        <v>666</v>
      </c>
      <c r="B233" s="360" t="s">
        <v>838</v>
      </c>
      <c r="C233" s="389">
        <v>0</v>
      </c>
      <c r="D233" s="186">
        <v>0</v>
      </c>
      <c r="E233" s="296">
        <v>0</v>
      </c>
      <c r="F233" s="1232"/>
      <c r="G233" s="1232"/>
      <c r="H233" s="167" t="e">
        <f t="shared" si="279"/>
        <v>#DIV/0!</v>
      </c>
      <c r="I233" s="520">
        <v>0</v>
      </c>
      <c r="J233" s="1418"/>
      <c r="K233" s="1418"/>
      <c r="L233" s="1236"/>
      <c r="M233" s="1237"/>
      <c r="N233" s="1238"/>
      <c r="O233" s="1418"/>
      <c r="P233" s="1418"/>
      <c r="Q233" s="1418"/>
      <c r="R233" s="1239"/>
      <c r="S233" s="1418"/>
      <c r="T233" s="1419">
        <v>3</v>
      </c>
      <c r="U233" s="1241">
        <f t="shared" si="281"/>
        <v>0</v>
      </c>
      <c r="V233" s="170">
        <f t="shared" si="282"/>
        <v>0</v>
      </c>
      <c r="W233" s="424">
        <v>0.3</v>
      </c>
      <c r="X233" s="395">
        <v>0</v>
      </c>
      <c r="Y233" s="481">
        <v>40000000</v>
      </c>
      <c r="Z233" s="289">
        <v>0</v>
      </c>
      <c r="AA233" s="1388">
        <v>4312903</v>
      </c>
      <c r="AB233" s="208">
        <f t="shared" si="240"/>
        <v>0.107822575</v>
      </c>
      <c r="AC233" s="206">
        <v>1410300</v>
      </c>
      <c r="AD233" s="1331">
        <f t="shared" si="241"/>
        <v>3.5257499999999997E-2</v>
      </c>
      <c r="AE233" s="1247">
        <f>+AA233-AC233</f>
        <v>2902603</v>
      </c>
      <c r="AF233" s="1388"/>
      <c r="AG233" s="1388"/>
      <c r="AH233" s="506" t="e">
        <f t="shared" si="242"/>
        <v>#DIV/0!</v>
      </c>
      <c r="AI233" s="1255">
        <f t="shared" si="284"/>
        <v>150000000</v>
      </c>
      <c r="AJ233" s="1255">
        <f t="shared" si="283"/>
        <v>4312903</v>
      </c>
      <c r="AK233" s="1332">
        <f t="shared" si="243"/>
        <v>2.8752686666666666E-2</v>
      </c>
      <c r="AL233" s="1330"/>
      <c r="AM233" s="1248"/>
      <c r="AN233" s="1249" t="s">
        <v>302</v>
      </c>
      <c r="AO233" s="496" t="s">
        <v>895</v>
      </c>
      <c r="AP233" s="1250"/>
      <c r="AQ233" s="1251"/>
    </row>
    <row r="234" spans="1:43" x14ac:dyDescent="0.25">
      <c r="A234" s="241" t="s">
        <v>499</v>
      </c>
      <c r="B234" s="140"/>
      <c r="C234" s="141"/>
      <c r="D234" s="187"/>
      <c r="E234" s="181"/>
      <c r="F234" s="141"/>
      <c r="G234" s="141"/>
      <c r="H234" s="142">
        <f>+SUMPRODUCT(H235:H238,W235:W238)</f>
        <v>1</v>
      </c>
      <c r="I234" s="157">
        <f>+SUMPRODUCT(I235:I238,X235:X238)</f>
        <v>0.94000000000000006</v>
      </c>
      <c r="J234" s="172"/>
      <c r="K234" s="172"/>
      <c r="L234" s="143"/>
      <c r="M234" s="144"/>
      <c r="N234" s="144"/>
      <c r="O234" s="172"/>
      <c r="P234" s="172"/>
      <c r="Q234" s="172"/>
      <c r="R234" s="158"/>
      <c r="S234" s="172"/>
      <c r="T234" s="193"/>
      <c r="U234" s="201"/>
      <c r="V234" s="165">
        <f>+SUMPRODUCT(V235:V238,W235:W238)</f>
        <v>0.69166666666666654</v>
      </c>
      <c r="W234" s="142">
        <v>0.8</v>
      </c>
      <c r="X234" s="394">
        <v>0.8</v>
      </c>
      <c r="Y234" s="145">
        <f>SUM(Y235:Y238)</f>
        <v>1160000000</v>
      </c>
      <c r="Z234" s="145">
        <f>SUM(Z235:Z238)</f>
        <v>1216381367</v>
      </c>
      <c r="AA234" s="145">
        <f>SUM(AA235:AA238)</f>
        <v>1055504731</v>
      </c>
      <c r="AB234" s="207">
        <f t="shared" si="240"/>
        <v>0.9099178715517241</v>
      </c>
      <c r="AC234" s="145">
        <f>SUM(AC235:AC238)</f>
        <v>920801673</v>
      </c>
      <c r="AD234" s="1386">
        <f t="shared" si="241"/>
        <v>0.79379454568965513</v>
      </c>
      <c r="AE234" s="145">
        <f>SUM(AE235:AE238)</f>
        <v>134703058</v>
      </c>
      <c r="AF234" s="145">
        <f>SUM(AF235:AF238)</f>
        <v>1154381367</v>
      </c>
      <c r="AG234" s="145">
        <f>SUM(AG235:AG238)</f>
        <v>1144381367</v>
      </c>
      <c r="AH234" s="505">
        <f t="shared" si="242"/>
        <v>0.99133735151496083</v>
      </c>
      <c r="AI234" s="145">
        <f t="shared" ref="AI234" si="285">SUM(AI235:AI238)</f>
        <v>5250000000</v>
      </c>
      <c r="AJ234" s="145">
        <f>SUM(AJ235:AJ238)</f>
        <v>2271886098</v>
      </c>
      <c r="AK234" s="1321">
        <f t="shared" si="243"/>
        <v>0.43274020914285716</v>
      </c>
      <c r="AL234" s="166"/>
      <c r="AM234" s="159"/>
      <c r="AN234" s="482"/>
      <c r="AO234" s="145"/>
      <c r="AP234" s="483"/>
      <c r="AQ234" s="101"/>
    </row>
    <row r="235" spans="1:43" ht="306" x14ac:dyDescent="0.25">
      <c r="A235" s="268" t="s">
        <v>667</v>
      </c>
      <c r="B235" s="359" t="s">
        <v>839</v>
      </c>
      <c r="C235" s="387">
        <v>0.5</v>
      </c>
      <c r="D235" s="320">
        <v>0.4</v>
      </c>
      <c r="E235" s="234">
        <v>0.5</v>
      </c>
      <c r="F235" s="169">
        <v>1</v>
      </c>
      <c r="G235" s="1232"/>
      <c r="H235" s="167">
        <f t="shared" ref="H235:H238" si="286">IF((E235+G235)/C235&gt;=100%,100%,(E235+G235)/C235)</f>
        <v>1</v>
      </c>
      <c r="I235" s="520">
        <f t="shared" ref="I235:I237" si="287">IF(F235/D235&gt;=100%,100%,F235/D235)</f>
        <v>1</v>
      </c>
      <c r="J235" s="1418" t="s">
        <v>1504</v>
      </c>
      <c r="K235" s="1418"/>
      <c r="L235" s="1236"/>
      <c r="M235" s="1237"/>
      <c r="N235" s="1238"/>
      <c r="O235" s="1418"/>
      <c r="P235" s="1418"/>
      <c r="Q235" s="1418"/>
      <c r="R235" s="1239"/>
      <c r="S235" s="1418"/>
      <c r="T235" s="234">
        <v>1</v>
      </c>
      <c r="U235" s="1241">
        <f t="shared" ref="U235:U238" si="288">SUM(E235:F235)</f>
        <v>1.5</v>
      </c>
      <c r="V235" s="170">
        <f t="shared" ref="V235:V238" si="289">IF(U235/T235&gt;=100%,100%,U235/T235)</f>
        <v>1</v>
      </c>
      <c r="W235" s="1327">
        <v>0.35</v>
      </c>
      <c r="X235" s="395">
        <v>0.4</v>
      </c>
      <c r="Y235" s="479">
        <v>600000000</v>
      </c>
      <c r="Z235" s="287">
        <v>649891449</v>
      </c>
      <c r="AA235" s="1388">
        <v>548728092</v>
      </c>
      <c r="AB235" s="208">
        <f t="shared" si="240"/>
        <v>0.91454681999999998</v>
      </c>
      <c r="AC235" s="206">
        <v>502151646</v>
      </c>
      <c r="AD235" s="1389">
        <f t="shared" si="241"/>
        <v>0.83691941000000003</v>
      </c>
      <c r="AE235" s="1247">
        <f>+AA235-AC235</f>
        <v>46576446</v>
      </c>
      <c r="AF235" s="1388">
        <v>649891449</v>
      </c>
      <c r="AG235" s="1388">
        <v>649891449</v>
      </c>
      <c r="AH235" s="506">
        <f t="shared" si="242"/>
        <v>1</v>
      </c>
      <c r="AI235" s="1255">
        <v>1800000000</v>
      </c>
      <c r="AJ235" s="1255">
        <f t="shared" si="283"/>
        <v>1198619541</v>
      </c>
      <c r="AK235" s="1390">
        <f t="shared" si="243"/>
        <v>0.66589974500000004</v>
      </c>
      <c r="AL235" s="1330"/>
      <c r="AM235" s="1248"/>
      <c r="AN235" s="1249" t="s">
        <v>302</v>
      </c>
      <c r="AO235" s="1888" t="s">
        <v>895</v>
      </c>
      <c r="AP235" s="1250"/>
      <c r="AQ235" s="1251"/>
    </row>
    <row r="236" spans="1:43" ht="153" x14ac:dyDescent="0.25">
      <c r="A236" s="268" t="s">
        <v>668</v>
      </c>
      <c r="B236" s="359" t="s">
        <v>840</v>
      </c>
      <c r="C236" s="387">
        <v>0.1</v>
      </c>
      <c r="D236" s="320">
        <v>0.2</v>
      </c>
      <c r="E236" s="234">
        <v>0.1</v>
      </c>
      <c r="F236" s="169">
        <v>0.2</v>
      </c>
      <c r="G236" s="1232"/>
      <c r="H236" s="167">
        <f t="shared" si="286"/>
        <v>1</v>
      </c>
      <c r="I236" s="520">
        <f t="shared" si="287"/>
        <v>1</v>
      </c>
      <c r="J236" s="1418" t="s">
        <v>1505</v>
      </c>
      <c r="K236" s="1418"/>
      <c r="L236" s="1236"/>
      <c r="M236" s="1237"/>
      <c r="N236" s="1238"/>
      <c r="O236" s="1418"/>
      <c r="P236" s="1418"/>
      <c r="Q236" s="1418"/>
      <c r="R236" s="1239"/>
      <c r="S236" s="1418"/>
      <c r="T236" s="234">
        <v>0.90000000000000013</v>
      </c>
      <c r="U236" s="1241">
        <f t="shared" si="288"/>
        <v>0.30000000000000004</v>
      </c>
      <c r="V236" s="170">
        <f t="shared" si="289"/>
        <v>0.33333333333333331</v>
      </c>
      <c r="W236" s="1327">
        <v>0.35</v>
      </c>
      <c r="X236" s="395">
        <v>0.4</v>
      </c>
      <c r="Y236" s="479">
        <v>180000000</v>
      </c>
      <c r="Z236" s="287">
        <v>164237276</v>
      </c>
      <c r="AA236" s="1388">
        <v>153603288</v>
      </c>
      <c r="AB236" s="208">
        <f t="shared" si="240"/>
        <v>0.85335159999999999</v>
      </c>
      <c r="AC236" s="206">
        <v>136048810</v>
      </c>
      <c r="AD236" s="1389">
        <f t="shared" si="241"/>
        <v>0.75582672222222225</v>
      </c>
      <c r="AE236" s="1247">
        <f>+AA236-AC236</f>
        <v>17554478</v>
      </c>
      <c r="AF236" s="1388">
        <v>164237276</v>
      </c>
      <c r="AG236" s="1388">
        <v>164237276</v>
      </c>
      <c r="AH236" s="506">
        <f t="shared" si="242"/>
        <v>1</v>
      </c>
      <c r="AI236" s="1255">
        <v>1600000000</v>
      </c>
      <c r="AJ236" s="1255">
        <f t="shared" si="283"/>
        <v>317840564</v>
      </c>
      <c r="AK236" s="1332">
        <f t="shared" si="243"/>
        <v>0.19865035249999999</v>
      </c>
      <c r="AL236" s="1330"/>
      <c r="AM236" s="1248"/>
      <c r="AN236" s="1249" t="s">
        <v>302</v>
      </c>
      <c r="AO236" s="1874"/>
      <c r="AP236" s="1250"/>
      <c r="AQ236" s="1251"/>
    </row>
    <row r="237" spans="1:43" ht="153" x14ac:dyDescent="0.25">
      <c r="A237" s="268" t="s">
        <v>669</v>
      </c>
      <c r="B237" s="359" t="s">
        <v>841</v>
      </c>
      <c r="C237" s="387">
        <v>1</v>
      </c>
      <c r="D237" s="320">
        <v>1</v>
      </c>
      <c r="E237" s="234">
        <v>1</v>
      </c>
      <c r="F237" s="169">
        <v>0.7</v>
      </c>
      <c r="G237" s="1232"/>
      <c r="H237" s="167">
        <f t="shared" si="286"/>
        <v>1</v>
      </c>
      <c r="I237" s="520">
        <f t="shared" si="287"/>
        <v>0.7</v>
      </c>
      <c r="J237" s="1418" t="s">
        <v>1029</v>
      </c>
      <c r="K237" s="1418"/>
      <c r="L237" s="1236"/>
      <c r="M237" s="1237"/>
      <c r="N237" s="1238"/>
      <c r="O237" s="1418"/>
      <c r="P237" s="1418"/>
      <c r="Q237" s="1418"/>
      <c r="R237" s="1239"/>
      <c r="S237" s="1418"/>
      <c r="T237" s="234">
        <v>1</v>
      </c>
      <c r="U237" s="1241">
        <f t="shared" si="288"/>
        <v>1.7</v>
      </c>
      <c r="V237" s="170">
        <f t="shared" si="289"/>
        <v>1</v>
      </c>
      <c r="W237" s="1327">
        <v>0.15</v>
      </c>
      <c r="X237" s="395">
        <v>0.2</v>
      </c>
      <c r="Y237" s="509">
        <v>200000000</v>
      </c>
      <c r="Z237" s="287">
        <v>250000000</v>
      </c>
      <c r="AA237" s="1388">
        <v>176232968</v>
      </c>
      <c r="AB237" s="208">
        <f t="shared" si="240"/>
        <v>0.88116483999999995</v>
      </c>
      <c r="AC237" s="206">
        <v>153874652</v>
      </c>
      <c r="AD237" s="1389">
        <f t="shared" si="241"/>
        <v>0.76937325999999995</v>
      </c>
      <c r="AE237" s="1247">
        <f>+AA237-AC237</f>
        <v>22358316</v>
      </c>
      <c r="AF237" s="1388">
        <v>250000000</v>
      </c>
      <c r="AG237" s="1388">
        <v>250000000</v>
      </c>
      <c r="AH237" s="506">
        <f t="shared" si="242"/>
        <v>1</v>
      </c>
      <c r="AI237" s="1255">
        <v>1850000000</v>
      </c>
      <c r="AJ237" s="1255">
        <f t="shared" si="283"/>
        <v>426232968</v>
      </c>
      <c r="AK237" s="1332">
        <f t="shared" si="243"/>
        <v>0.23039619891891891</v>
      </c>
      <c r="AL237" s="1330"/>
      <c r="AM237" s="1248"/>
      <c r="AN237" s="1249" t="s">
        <v>302</v>
      </c>
      <c r="AO237" s="1870"/>
      <c r="AP237" s="1250"/>
      <c r="AQ237" s="1251"/>
    </row>
    <row r="238" spans="1:43" ht="38.25" x14ac:dyDescent="0.25">
      <c r="A238" s="268" t="s">
        <v>670</v>
      </c>
      <c r="B238" s="359" t="s">
        <v>842</v>
      </c>
      <c r="C238" s="386">
        <v>1</v>
      </c>
      <c r="D238" s="319">
        <v>0</v>
      </c>
      <c r="E238" s="233">
        <v>1</v>
      </c>
      <c r="F238" s="1232"/>
      <c r="G238" s="1232"/>
      <c r="H238" s="167">
        <f t="shared" si="286"/>
        <v>1</v>
      </c>
      <c r="I238" s="520">
        <v>0</v>
      </c>
      <c r="J238" s="1418"/>
      <c r="K238" s="1418"/>
      <c r="L238" s="1236"/>
      <c r="M238" s="1237"/>
      <c r="N238" s="1238"/>
      <c r="O238" s="1418"/>
      <c r="P238" s="1418"/>
      <c r="Q238" s="1418"/>
      <c r="R238" s="1239"/>
      <c r="S238" s="1418"/>
      <c r="T238" s="233">
        <v>2</v>
      </c>
      <c r="U238" s="1241">
        <f t="shared" si="288"/>
        <v>1</v>
      </c>
      <c r="V238" s="170">
        <f t="shared" si="289"/>
        <v>0.5</v>
      </c>
      <c r="W238" s="1327">
        <v>0.15</v>
      </c>
      <c r="X238" s="395">
        <v>0</v>
      </c>
      <c r="Y238" s="481">
        <v>180000000</v>
      </c>
      <c r="Z238" s="287">
        <v>152252642</v>
      </c>
      <c r="AA238" s="1388">
        <v>176940383</v>
      </c>
      <c r="AB238" s="208">
        <f t="shared" si="240"/>
        <v>0.98300212777777773</v>
      </c>
      <c r="AC238" s="206">
        <v>128726565</v>
      </c>
      <c r="AD238" s="1389">
        <f t="shared" si="241"/>
        <v>0.71514758333333328</v>
      </c>
      <c r="AE238" s="1247">
        <f>+AA238-AC238</f>
        <v>48213818</v>
      </c>
      <c r="AF238" s="1388">
        <v>90252642</v>
      </c>
      <c r="AG238" s="1388">
        <v>80252642</v>
      </c>
      <c r="AH238" s="506">
        <f t="shared" si="242"/>
        <v>0.88919991948822952</v>
      </c>
      <c r="AI238" s="1255">
        <v>0</v>
      </c>
      <c r="AJ238" s="1255">
        <f t="shared" si="283"/>
        <v>329193025</v>
      </c>
      <c r="AK238" s="1332" t="e">
        <f t="shared" si="243"/>
        <v>#DIV/0!</v>
      </c>
      <c r="AL238" s="1330"/>
      <c r="AM238" s="1248"/>
      <c r="AN238" s="1249" t="s">
        <v>302</v>
      </c>
      <c r="AO238" s="495" t="s">
        <v>895</v>
      </c>
      <c r="AP238" s="1250"/>
      <c r="AQ238" s="1251"/>
    </row>
    <row r="239" spans="1:43" ht="51" x14ac:dyDescent="0.25">
      <c r="A239" s="1201" t="s">
        <v>446</v>
      </c>
      <c r="B239" s="1220"/>
      <c r="C239" s="1257"/>
      <c r="D239" s="1258"/>
      <c r="E239" s="1259"/>
      <c r="F239" s="1257"/>
      <c r="G239" s="1257"/>
      <c r="H239" s="1213">
        <f>+(H240*W240)</f>
        <v>1</v>
      </c>
      <c r="I239" s="1446">
        <f>+(I240*X240)</f>
        <v>1</v>
      </c>
      <c r="J239" s="215"/>
      <c r="K239" s="215"/>
      <c r="L239" s="1221"/>
      <c r="M239" s="1222"/>
      <c r="N239" s="1222"/>
      <c r="O239" s="215"/>
      <c r="P239" s="215"/>
      <c r="Q239" s="215"/>
      <c r="R239" s="1262"/>
      <c r="S239" s="215"/>
      <c r="T239" s="216"/>
      <c r="U239" s="1265"/>
      <c r="V239" s="1447">
        <f>+(V240*W240)</f>
        <v>0.43472222222222223</v>
      </c>
      <c r="W239" s="1213">
        <v>0.1</v>
      </c>
      <c r="X239" s="1214">
        <v>0.1</v>
      </c>
      <c r="Y239" s="1215">
        <f>+Y240</f>
        <v>420000000</v>
      </c>
      <c r="Z239" s="1215">
        <f>+Z240</f>
        <v>313482364.75</v>
      </c>
      <c r="AA239" s="1215">
        <f>+AA240</f>
        <v>412454675.72000003</v>
      </c>
      <c r="AB239" s="1216">
        <f t="shared" si="240"/>
        <v>0.98203494219047627</v>
      </c>
      <c r="AC239" s="1215">
        <f>+AC240</f>
        <v>378268839.72000003</v>
      </c>
      <c r="AD239" s="1313">
        <f t="shared" si="241"/>
        <v>0.90064009457142868</v>
      </c>
      <c r="AE239" s="1215">
        <f>+AE240</f>
        <v>34185836.000000015</v>
      </c>
      <c r="AF239" s="1215">
        <f>+AF240</f>
        <v>44190909.75</v>
      </c>
      <c r="AG239" s="1215">
        <f>+AG240</f>
        <v>38890909.25</v>
      </c>
      <c r="AH239" s="1219">
        <f t="shared" si="242"/>
        <v>0.88006582055034521</v>
      </c>
      <c r="AI239" s="1215">
        <f t="shared" ref="AI239" si="290">+AI240</f>
        <v>2000000000</v>
      </c>
      <c r="AJ239" s="1215">
        <f>+AJ240</f>
        <v>725937040.47000003</v>
      </c>
      <c r="AK239" s="209">
        <f t="shared" si="243"/>
        <v>0.36296852023500004</v>
      </c>
      <c r="AL239" s="161"/>
      <c r="AM239" s="1221" t="s">
        <v>301</v>
      </c>
      <c r="AN239" s="1222"/>
      <c r="AO239" s="1215"/>
      <c r="AP239" s="1223"/>
      <c r="AQ239" s="1224"/>
    </row>
    <row r="240" spans="1:43" ht="25.5" x14ac:dyDescent="0.25">
      <c r="A240" s="241" t="s">
        <v>500</v>
      </c>
      <c r="B240" s="140"/>
      <c r="C240" s="141"/>
      <c r="D240" s="187"/>
      <c r="E240" s="181"/>
      <c r="F240" s="141"/>
      <c r="G240" s="141"/>
      <c r="H240" s="142">
        <f>+SUMPRODUCT(H241:H244,W241:W244)</f>
        <v>1</v>
      </c>
      <c r="I240" s="157">
        <f>+SUMPRODUCT(I241:I244,X241:X244)</f>
        <v>1</v>
      </c>
      <c r="J240" s="172"/>
      <c r="K240" s="172"/>
      <c r="L240" s="143"/>
      <c r="M240" s="144"/>
      <c r="N240" s="144"/>
      <c r="O240" s="172"/>
      <c r="P240" s="172"/>
      <c r="Q240" s="172"/>
      <c r="R240" s="158"/>
      <c r="S240" s="172"/>
      <c r="T240" s="193"/>
      <c r="U240" s="202">
        <f t="shared" ref="U240:U244" si="291">SUM(E240:F240)</f>
        <v>0</v>
      </c>
      <c r="V240" s="165">
        <f>+SUMPRODUCT(V241:V244,W241:W244)</f>
        <v>0.43472222222222223</v>
      </c>
      <c r="W240" s="142">
        <v>1</v>
      </c>
      <c r="X240" s="394">
        <v>1</v>
      </c>
      <c r="Y240" s="145">
        <f>SUM(Y241:Y244)</f>
        <v>420000000</v>
      </c>
      <c r="Z240" s="145">
        <f>SUM(Z241:Z244)</f>
        <v>313482364.75</v>
      </c>
      <c r="AA240" s="145">
        <f>SUM(AA241:AA244)</f>
        <v>412454675.72000003</v>
      </c>
      <c r="AB240" s="207">
        <f t="shared" si="240"/>
        <v>0.98203494219047627</v>
      </c>
      <c r="AC240" s="145">
        <f>SUM(AC241:AC244)</f>
        <v>378268839.72000003</v>
      </c>
      <c r="AD240" s="1386">
        <f t="shared" si="241"/>
        <v>0.90064009457142868</v>
      </c>
      <c r="AE240" s="145">
        <f>SUM(AE241:AE244)</f>
        <v>34185836.000000015</v>
      </c>
      <c r="AF240" s="145">
        <f>SUM(AF241:AF244)</f>
        <v>44190909.75</v>
      </c>
      <c r="AG240" s="145">
        <f>SUM(AG241:AG244)</f>
        <v>38890909.25</v>
      </c>
      <c r="AH240" s="505">
        <f t="shared" si="242"/>
        <v>0.88006582055034521</v>
      </c>
      <c r="AI240" s="145">
        <f t="shared" ref="AI240" si="292">SUM(AI241:AI244)</f>
        <v>2000000000</v>
      </c>
      <c r="AJ240" s="145">
        <f>SUM(AJ241:AJ244)</f>
        <v>725937040.47000003</v>
      </c>
      <c r="AK240" s="1321">
        <f t="shared" si="243"/>
        <v>0.36296852023500004</v>
      </c>
      <c r="AL240" s="166"/>
      <c r="AM240" s="159"/>
      <c r="AN240" s="482"/>
      <c r="AO240" s="145"/>
      <c r="AP240" s="483"/>
      <c r="AQ240" s="101"/>
    </row>
    <row r="241" spans="1:43" ht="165.75" x14ac:dyDescent="0.25">
      <c r="A241" s="269" t="s">
        <v>671</v>
      </c>
      <c r="B241" s="360" t="s">
        <v>843</v>
      </c>
      <c r="C241" s="388">
        <v>4</v>
      </c>
      <c r="D241" s="321">
        <v>5</v>
      </c>
      <c r="E241" s="1234">
        <v>4</v>
      </c>
      <c r="F241" s="1232">
        <v>5</v>
      </c>
      <c r="G241" s="1232"/>
      <c r="H241" s="167">
        <f t="shared" ref="H241:H244" si="293">IF((E241+G241)/C241&gt;=100%,100%,(E241+G241)/C241)</f>
        <v>1</v>
      </c>
      <c r="I241" s="520">
        <f t="shared" ref="I241:I244" si="294">IF(F241/D241&gt;=100%,100%,F241/D241)</f>
        <v>1</v>
      </c>
      <c r="J241" s="1418" t="s">
        <v>1030</v>
      </c>
      <c r="K241" s="1418"/>
      <c r="L241" s="1236"/>
      <c r="M241" s="1237"/>
      <c r="N241" s="1238"/>
      <c r="O241" s="1418"/>
      <c r="P241" s="1418"/>
      <c r="Q241" s="1418"/>
      <c r="R241" s="1239"/>
      <c r="S241" s="1418"/>
      <c r="T241" s="1234">
        <v>20</v>
      </c>
      <c r="U241" s="1241">
        <f t="shared" si="291"/>
        <v>9</v>
      </c>
      <c r="V241" s="170">
        <f t="shared" ref="V241:V244" si="295">IF(U241/T241&gt;=100%,100%,U241/T241)</f>
        <v>0.45</v>
      </c>
      <c r="W241" s="1327">
        <v>0.25</v>
      </c>
      <c r="X241" s="1369">
        <v>0.25</v>
      </c>
      <c r="Y241" s="1451">
        <v>150000000</v>
      </c>
      <c r="Z241" s="287">
        <v>87791455.5</v>
      </c>
      <c r="AA241" s="1388">
        <v>147519988.86000001</v>
      </c>
      <c r="AB241" s="208">
        <f t="shared" si="240"/>
        <v>0.98346659240000012</v>
      </c>
      <c r="AC241" s="206">
        <v>141357288.86000001</v>
      </c>
      <c r="AD241" s="1389">
        <f t="shared" si="241"/>
        <v>0.94238192573333346</v>
      </c>
      <c r="AE241" s="1247">
        <f>+AA241-AC241</f>
        <v>6162700</v>
      </c>
      <c r="AF241" s="1388">
        <v>5700000.5</v>
      </c>
      <c r="AG241" s="1388">
        <v>5400000</v>
      </c>
      <c r="AH241" s="506">
        <f t="shared" si="242"/>
        <v>0.94736833795014574</v>
      </c>
      <c r="AI241" s="1255">
        <f>2000000000/4</f>
        <v>500000000</v>
      </c>
      <c r="AJ241" s="1255">
        <f t="shared" ref="AJ241:AJ244" si="296">+SUM(Z241:AA241)</f>
        <v>235311444.36000001</v>
      </c>
      <c r="AK241" s="1332">
        <f t="shared" si="243"/>
        <v>0.47062288872000002</v>
      </c>
      <c r="AL241" s="1330"/>
      <c r="AM241" s="1248"/>
      <c r="AN241" s="1249" t="s">
        <v>302</v>
      </c>
      <c r="AO241" s="1889" t="s">
        <v>926</v>
      </c>
      <c r="AP241" s="1250"/>
      <c r="AQ241" s="1251"/>
    </row>
    <row r="242" spans="1:43" ht="153" x14ac:dyDescent="0.25">
      <c r="A242" s="269" t="s">
        <v>672</v>
      </c>
      <c r="B242" s="360" t="s">
        <v>844</v>
      </c>
      <c r="C242" s="388">
        <v>2</v>
      </c>
      <c r="D242" s="321">
        <v>4</v>
      </c>
      <c r="E242" s="236">
        <v>2</v>
      </c>
      <c r="F242" s="1232">
        <v>5</v>
      </c>
      <c r="G242" s="1232"/>
      <c r="H242" s="167">
        <f t="shared" si="293"/>
        <v>1</v>
      </c>
      <c r="I242" s="520">
        <f t="shared" si="294"/>
        <v>1</v>
      </c>
      <c r="J242" s="1418" t="s">
        <v>1033</v>
      </c>
      <c r="K242" s="1418"/>
      <c r="L242" s="1236"/>
      <c r="M242" s="1237"/>
      <c r="N242" s="1238"/>
      <c r="O242" s="1418"/>
      <c r="P242" s="1418"/>
      <c r="Q242" s="1418"/>
      <c r="R242" s="1239"/>
      <c r="S242" s="1418"/>
      <c r="T242" s="236">
        <v>18</v>
      </c>
      <c r="U242" s="1241">
        <f t="shared" si="291"/>
        <v>7</v>
      </c>
      <c r="V242" s="170">
        <f t="shared" si="295"/>
        <v>0.3888888888888889</v>
      </c>
      <c r="W242" s="1327">
        <v>0.25</v>
      </c>
      <c r="X242" s="1369">
        <v>0.25</v>
      </c>
      <c r="Y242" s="510">
        <v>60000000</v>
      </c>
      <c r="Z242" s="287">
        <v>93190909.25</v>
      </c>
      <c r="AA242" s="1388">
        <v>58402045</v>
      </c>
      <c r="AB242" s="208">
        <f t="shared" si="240"/>
        <v>0.97336741666666671</v>
      </c>
      <c r="AC242" s="206">
        <v>55481190</v>
      </c>
      <c r="AD242" s="1389">
        <f t="shared" si="241"/>
        <v>0.92468649999999997</v>
      </c>
      <c r="AE242" s="1247">
        <f>+AA242-AC242</f>
        <v>2920855</v>
      </c>
      <c r="AF242" s="1388">
        <v>28490909.25</v>
      </c>
      <c r="AG242" s="1388">
        <v>23490909.25</v>
      </c>
      <c r="AH242" s="506">
        <f t="shared" si="242"/>
        <v>0.8245054253577393</v>
      </c>
      <c r="AI242" s="1255">
        <f t="shared" ref="AI242:AI244" si="297">2000000000/4</f>
        <v>500000000</v>
      </c>
      <c r="AJ242" s="1255">
        <f t="shared" si="296"/>
        <v>151592954.25</v>
      </c>
      <c r="AK242" s="1332">
        <f t="shared" si="243"/>
        <v>0.30318590849999999</v>
      </c>
      <c r="AL242" s="1330"/>
      <c r="AM242" s="1248"/>
      <c r="AN242" s="1249" t="s">
        <v>302</v>
      </c>
      <c r="AO242" s="1874"/>
      <c r="AP242" s="1250"/>
      <c r="AQ242" s="1251"/>
    </row>
    <row r="243" spans="1:43" ht="166.5" thickBot="1" x14ac:dyDescent="0.3">
      <c r="A243" s="269" t="s">
        <v>673</v>
      </c>
      <c r="B243" s="360" t="s">
        <v>845</v>
      </c>
      <c r="C243" s="388">
        <v>1000</v>
      </c>
      <c r="D243" s="321">
        <v>1000</v>
      </c>
      <c r="E243" s="236">
        <v>1000</v>
      </c>
      <c r="F243" s="1232">
        <v>1000</v>
      </c>
      <c r="G243" s="1232"/>
      <c r="H243" s="167">
        <f t="shared" si="293"/>
        <v>1</v>
      </c>
      <c r="I243" s="520">
        <f t="shared" si="294"/>
        <v>1</v>
      </c>
      <c r="J243" s="1418" t="s">
        <v>1032</v>
      </c>
      <c r="K243" s="1418"/>
      <c r="L243" s="1452"/>
      <c r="M243" s="1453"/>
      <c r="N243" s="1238"/>
      <c r="O243" s="1418"/>
      <c r="P243" s="1418"/>
      <c r="Q243" s="1418"/>
      <c r="R243" s="1239"/>
      <c r="S243" s="1418"/>
      <c r="T243" s="236">
        <v>5000</v>
      </c>
      <c r="U243" s="1241">
        <f t="shared" si="291"/>
        <v>2000</v>
      </c>
      <c r="V243" s="170">
        <f t="shared" si="295"/>
        <v>0.4</v>
      </c>
      <c r="W243" s="1327">
        <v>0.25</v>
      </c>
      <c r="X243" s="1369">
        <v>0.25</v>
      </c>
      <c r="Y243" s="511">
        <v>150000000</v>
      </c>
      <c r="Z243" s="287">
        <v>62300000</v>
      </c>
      <c r="AA243" s="1388">
        <v>147530596.86000001</v>
      </c>
      <c r="AB243" s="208">
        <f t="shared" si="240"/>
        <v>0.98353731240000009</v>
      </c>
      <c r="AC243" s="206">
        <v>125728344.86</v>
      </c>
      <c r="AD243" s="1389">
        <f t="shared" si="241"/>
        <v>0.83818896573333335</v>
      </c>
      <c r="AE243" s="1247">
        <f>+AA243-AC243</f>
        <v>21802252.000000015</v>
      </c>
      <c r="AF243" s="1388">
        <v>6600000</v>
      </c>
      <c r="AG243" s="1388">
        <v>6600000</v>
      </c>
      <c r="AH243" s="506">
        <f t="shared" si="242"/>
        <v>1</v>
      </c>
      <c r="AI243" s="1255">
        <f t="shared" si="297"/>
        <v>500000000</v>
      </c>
      <c r="AJ243" s="1255">
        <f t="shared" si="296"/>
        <v>209830596.86000001</v>
      </c>
      <c r="AK243" s="1332">
        <f t="shared" si="243"/>
        <v>0.41966119372000005</v>
      </c>
      <c r="AL243" s="1330"/>
      <c r="AM243" s="1248"/>
      <c r="AN243" s="1249" t="s">
        <v>302</v>
      </c>
      <c r="AO243" s="1870"/>
      <c r="AP243" s="1250"/>
      <c r="AQ243" s="1251"/>
    </row>
    <row r="244" spans="1:43" ht="63.75" x14ac:dyDescent="0.25">
      <c r="A244" s="269" t="s">
        <v>674</v>
      </c>
      <c r="B244" s="360" t="s">
        <v>846</v>
      </c>
      <c r="C244" s="390">
        <v>0.1</v>
      </c>
      <c r="D244" s="322">
        <v>0.1</v>
      </c>
      <c r="E244" s="238">
        <v>0.1</v>
      </c>
      <c r="F244" s="169">
        <v>0.1</v>
      </c>
      <c r="G244" s="1232"/>
      <c r="H244" s="167">
        <f t="shared" si="293"/>
        <v>1</v>
      </c>
      <c r="I244" s="520">
        <f t="shared" si="294"/>
        <v>1</v>
      </c>
      <c r="J244" s="1418" t="s">
        <v>1031</v>
      </c>
      <c r="K244" s="1418"/>
      <c r="L244" s="1454"/>
      <c r="M244" s="1455"/>
      <c r="N244" s="1238"/>
      <c r="O244" s="1418"/>
      <c r="P244" s="1418"/>
      <c r="Q244" s="1418"/>
      <c r="R244" s="1239"/>
      <c r="S244" s="1418"/>
      <c r="T244" s="238">
        <v>0.4</v>
      </c>
      <c r="U244" s="1241">
        <f t="shared" si="291"/>
        <v>0.2</v>
      </c>
      <c r="V244" s="170">
        <f t="shared" si="295"/>
        <v>0.5</v>
      </c>
      <c r="W244" s="1327">
        <v>0.25</v>
      </c>
      <c r="X244" s="1369">
        <v>0.25</v>
      </c>
      <c r="Y244" s="510">
        <v>60000000</v>
      </c>
      <c r="Z244" s="287">
        <v>70200000</v>
      </c>
      <c r="AA244" s="1388">
        <v>59002045</v>
      </c>
      <c r="AB244" s="208">
        <f t="shared" si="240"/>
        <v>0.98336741666666672</v>
      </c>
      <c r="AC244" s="206">
        <v>55702016</v>
      </c>
      <c r="AD244" s="1389">
        <f t="shared" si="241"/>
        <v>0.92836693333333331</v>
      </c>
      <c r="AE244" s="1247">
        <f>+AA244-AC244</f>
        <v>3300029</v>
      </c>
      <c r="AF244" s="1388">
        <v>3400000</v>
      </c>
      <c r="AG244" s="1388">
        <v>3400000</v>
      </c>
      <c r="AH244" s="506">
        <f t="shared" si="242"/>
        <v>1</v>
      </c>
      <c r="AI244" s="1255">
        <f t="shared" si="297"/>
        <v>500000000</v>
      </c>
      <c r="AJ244" s="1255">
        <f t="shared" si="296"/>
        <v>129202045</v>
      </c>
      <c r="AK244" s="1332">
        <f t="shared" si="243"/>
        <v>0.25840408999999998</v>
      </c>
      <c r="AL244" s="1330"/>
      <c r="AM244" s="1248"/>
      <c r="AN244" s="1249" t="s">
        <v>302</v>
      </c>
      <c r="AO244" s="1456" t="s">
        <v>895</v>
      </c>
      <c r="AP244" s="1250"/>
      <c r="AQ244" s="1251"/>
    </row>
    <row r="245" spans="1:43" ht="51" x14ac:dyDescent="0.25">
      <c r="A245" s="1201" t="s">
        <v>447</v>
      </c>
      <c r="B245" s="1202"/>
      <c r="C245" s="1203"/>
      <c r="D245" s="1204"/>
      <c r="E245" s="1205"/>
      <c r="F245" s="1203"/>
      <c r="G245" s="1203"/>
      <c r="H245" s="1213">
        <f>+(H246*W246)</f>
        <v>1</v>
      </c>
      <c r="I245" s="1446">
        <f>+(I246*X246)</f>
        <v>0.7</v>
      </c>
      <c r="J245" s="1413"/>
      <c r="K245" s="1413"/>
      <c r="L245" s="1207"/>
      <c r="M245" s="1208"/>
      <c r="N245" s="1208"/>
      <c r="O245" s="1413"/>
      <c r="P245" s="1413"/>
      <c r="Q245" s="1413"/>
      <c r="R245" s="1310"/>
      <c r="S245" s="1413"/>
      <c r="T245" s="1414"/>
      <c r="U245" s="1211"/>
      <c r="V245" s="1447">
        <f>+(V246*W246)</f>
        <v>0.5</v>
      </c>
      <c r="W245" s="1213">
        <v>0.1</v>
      </c>
      <c r="X245" s="1214">
        <v>0.1</v>
      </c>
      <c r="Y245" s="1215">
        <f>+Y246</f>
        <v>250000000</v>
      </c>
      <c r="Z245" s="1215">
        <f>+Z246</f>
        <v>92700000</v>
      </c>
      <c r="AA245" s="1215">
        <f>+AA246</f>
        <v>246500889</v>
      </c>
      <c r="AB245" s="1216">
        <f t="shared" si="240"/>
        <v>0.986003556</v>
      </c>
      <c r="AC245" s="1215">
        <f>+AC246</f>
        <v>213327183</v>
      </c>
      <c r="AD245" s="1313">
        <f t="shared" si="241"/>
        <v>0.85330873200000001</v>
      </c>
      <c r="AE245" s="1215">
        <f>+AE246</f>
        <v>33173706</v>
      </c>
      <c r="AF245" s="1215">
        <f>+AF246</f>
        <v>21300000</v>
      </c>
      <c r="AG245" s="1215">
        <f>+AG246</f>
        <v>21300000</v>
      </c>
      <c r="AH245" s="1219">
        <f t="shared" si="242"/>
        <v>1</v>
      </c>
      <c r="AI245" s="1215">
        <f t="shared" ref="AI245" si="298">+AI246</f>
        <v>1350000000</v>
      </c>
      <c r="AJ245" s="1215">
        <f>+AJ246</f>
        <v>339200889</v>
      </c>
      <c r="AK245" s="209">
        <f t="shared" si="243"/>
        <v>0.25125991777777779</v>
      </c>
      <c r="AL245" s="161"/>
      <c r="AM245" s="1221" t="s">
        <v>301</v>
      </c>
      <c r="AN245" s="1222"/>
      <c r="AO245" s="1215"/>
      <c r="AP245" s="1223"/>
      <c r="AQ245" s="1224"/>
    </row>
    <row r="246" spans="1:43" ht="25.5" x14ac:dyDescent="0.25">
      <c r="A246" s="241" t="s">
        <v>501</v>
      </c>
      <c r="B246" s="140"/>
      <c r="C246" s="141"/>
      <c r="D246" s="187"/>
      <c r="E246" s="181"/>
      <c r="F246" s="141"/>
      <c r="G246" s="141"/>
      <c r="H246" s="142">
        <f>+(H248*100%)</f>
        <v>1</v>
      </c>
      <c r="I246" s="157">
        <f>+SUMPRODUCT(I247:I249,X247:X249)</f>
        <v>0.7</v>
      </c>
      <c r="J246" s="172"/>
      <c r="K246" s="172"/>
      <c r="L246" s="143"/>
      <c r="M246" s="144"/>
      <c r="N246" s="144"/>
      <c r="O246" s="172"/>
      <c r="P246" s="172"/>
      <c r="Q246" s="172"/>
      <c r="R246" s="158"/>
      <c r="S246" s="172"/>
      <c r="T246" s="193"/>
      <c r="U246" s="201"/>
      <c r="V246" s="165">
        <f>+SUMPRODUCT(V247:V249,W247:W249)</f>
        <v>0.5</v>
      </c>
      <c r="W246" s="142">
        <v>1</v>
      </c>
      <c r="X246" s="394">
        <v>1</v>
      </c>
      <c r="Y246" s="145">
        <f>SUM(Y247:Y249)</f>
        <v>250000000</v>
      </c>
      <c r="Z246" s="145">
        <f>SUM(Z247:Z249)</f>
        <v>92700000</v>
      </c>
      <c r="AA246" s="145">
        <f>SUM(AA247:AA249)</f>
        <v>246500889</v>
      </c>
      <c r="AB246" s="207">
        <f t="shared" si="240"/>
        <v>0.986003556</v>
      </c>
      <c r="AC246" s="145">
        <f>SUM(AC247:AC249)</f>
        <v>213327183</v>
      </c>
      <c r="AD246" s="1386">
        <f t="shared" si="241"/>
        <v>0.85330873200000001</v>
      </c>
      <c r="AE246" s="145">
        <f>SUM(AE247:AE249)</f>
        <v>33173706</v>
      </c>
      <c r="AF246" s="145">
        <f>SUM(AF247:AF249)</f>
        <v>21300000</v>
      </c>
      <c r="AG246" s="145">
        <f>SUM(AG247:AG249)</f>
        <v>21300000</v>
      </c>
      <c r="AH246" s="505">
        <f t="shared" si="242"/>
        <v>1</v>
      </c>
      <c r="AI246" s="145">
        <f t="shared" ref="AI246" si="299">SUM(AI247:AI249)</f>
        <v>1350000000</v>
      </c>
      <c r="AJ246" s="145">
        <f>SUM(AJ247:AJ249)</f>
        <v>339200889</v>
      </c>
      <c r="AK246" s="1321">
        <f t="shared" si="243"/>
        <v>0.25125991777777779</v>
      </c>
      <c r="AL246" s="166"/>
      <c r="AM246" s="159"/>
      <c r="AN246" s="482"/>
      <c r="AO246" s="145"/>
      <c r="AP246" s="483"/>
      <c r="AQ246" s="101"/>
    </row>
    <row r="247" spans="1:43" ht="178.5" x14ac:dyDescent="0.25">
      <c r="A247" s="268" t="s">
        <v>675</v>
      </c>
      <c r="B247" s="359" t="s">
        <v>847</v>
      </c>
      <c r="C247" s="386">
        <v>0</v>
      </c>
      <c r="D247" s="319">
        <v>1</v>
      </c>
      <c r="E247" s="233">
        <v>0</v>
      </c>
      <c r="F247" s="1232">
        <v>1</v>
      </c>
      <c r="G247" s="1232"/>
      <c r="H247" s="167" t="e">
        <f t="shared" ref="H247:H249" si="300">IF((E247+G247)/C247&gt;=100%,100%,(E247+G247)/C247)</f>
        <v>#DIV/0!</v>
      </c>
      <c r="I247" s="520">
        <f t="shared" ref="I247:I249" si="301">IF(F247/D247&gt;=100%,100%,F247/D247)</f>
        <v>1</v>
      </c>
      <c r="J247" s="1418" t="s">
        <v>1034</v>
      </c>
      <c r="K247" s="1418"/>
      <c r="L247" s="1236"/>
      <c r="M247" s="1237"/>
      <c r="N247" s="1238"/>
      <c r="O247" s="1418"/>
      <c r="P247" s="1418"/>
      <c r="Q247" s="1418"/>
      <c r="R247" s="1239"/>
      <c r="S247" s="1418"/>
      <c r="T247" s="1419">
        <v>2</v>
      </c>
      <c r="U247" s="1241">
        <f t="shared" ref="U247:U249" si="302">SUM(E247:F247)</f>
        <v>1</v>
      </c>
      <c r="V247" s="170">
        <f t="shared" ref="V247:V249" si="303">IF(U247/T247&gt;=100%,100%,U247/T247)</f>
        <v>0.5</v>
      </c>
      <c r="W247" s="423">
        <v>0.4</v>
      </c>
      <c r="X247" s="442">
        <v>0.4</v>
      </c>
      <c r="Y247" s="1457">
        <v>100000000</v>
      </c>
      <c r="Z247" s="287">
        <v>0</v>
      </c>
      <c r="AA247" s="1388">
        <v>99068176</v>
      </c>
      <c r="AB247" s="208">
        <f t="shared" si="240"/>
        <v>0.99068175999999997</v>
      </c>
      <c r="AC247" s="206">
        <v>83226826</v>
      </c>
      <c r="AD247" s="1389">
        <f t="shared" si="241"/>
        <v>0.83226825999999998</v>
      </c>
      <c r="AE247" s="1247">
        <f>+AA247-AC247</f>
        <v>15841350</v>
      </c>
      <c r="AF247" s="1388"/>
      <c r="AG247" s="1388"/>
      <c r="AH247" s="506" t="e">
        <f t="shared" si="242"/>
        <v>#DIV/0!</v>
      </c>
      <c r="AI247" s="1245">
        <f>1250000000/2</f>
        <v>625000000</v>
      </c>
      <c r="AJ247" s="1255">
        <f t="shared" ref="AJ247:AJ249" si="304">+SUM(Z247:AA247)</f>
        <v>99068176</v>
      </c>
      <c r="AK247" s="1332">
        <f t="shared" si="243"/>
        <v>0.15850908159999999</v>
      </c>
      <c r="AL247" s="1330"/>
      <c r="AM247" s="1248"/>
      <c r="AN247" s="1249" t="s">
        <v>302</v>
      </c>
      <c r="AO247" s="498" t="s">
        <v>1506</v>
      </c>
      <c r="AP247" s="1250"/>
      <c r="AQ247" s="1251"/>
    </row>
    <row r="248" spans="1:43" ht="153" x14ac:dyDescent="0.25">
      <c r="A248" s="268" t="s">
        <v>676</v>
      </c>
      <c r="B248" s="359" t="s">
        <v>848</v>
      </c>
      <c r="C248" s="387">
        <v>1</v>
      </c>
      <c r="D248" s="320">
        <v>1</v>
      </c>
      <c r="E248" s="234">
        <v>1</v>
      </c>
      <c r="F248" s="169">
        <v>1</v>
      </c>
      <c r="G248" s="1232"/>
      <c r="H248" s="167">
        <f t="shared" si="300"/>
        <v>1</v>
      </c>
      <c r="I248" s="520">
        <f t="shared" si="301"/>
        <v>1</v>
      </c>
      <c r="J248" s="1418" t="s">
        <v>1035</v>
      </c>
      <c r="K248" s="1418"/>
      <c r="L248" s="1236"/>
      <c r="M248" s="1237"/>
      <c r="N248" s="1238"/>
      <c r="O248" s="1418"/>
      <c r="P248" s="1418"/>
      <c r="Q248" s="1418"/>
      <c r="R248" s="1239"/>
      <c r="S248" s="1418"/>
      <c r="T248" s="234">
        <v>1</v>
      </c>
      <c r="U248" s="1241">
        <f t="shared" si="302"/>
        <v>2</v>
      </c>
      <c r="V248" s="170">
        <f t="shared" si="303"/>
        <v>1</v>
      </c>
      <c r="W248" s="423">
        <v>0.3</v>
      </c>
      <c r="X248" s="442">
        <v>0.3</v>
      </c>
      <c r="Y248" s="511">
        <v>70000000</v>
      </c>
      <c r="Z248" s="287">
        <v>92700000</v>
      </c>
      <c r="AA248" s="1388">
        <v>69223482</v>
      </c>
      <c r="AB248" s="208">
        <f t="shared" si="240"/>
        <v>0.98890688571428575</v>
      </c>
      <c r="AC248" s="206">
        <v>56655687</v>
      </c>
      <c r="AD248" s="1389">
        <f t="shared" si="241"/>
        <v>0.80936695714285711</v>
      </c>
      <c r="AE248" s="1247">
        <f>+AA248-AC248</f>
        <v>12567795</v>
      </c>
      <c r="AF248" s="1388">
        <v>21300000</v>
      </c>
      <c r="AG248" s="1388">
        <v>21300000</v>
      </c>
      <c r="AH248" s="506">
        <f t="shared" si="242"/>
        <v>1</v>
      </c>
      <c r="AI248" s="1245">
        <f>1250000000/2</f>
        <v>625000000</v>
      </c>
      <c r="AJ248" s="1255">
        <f t="shared" si="304"/>
        <v>161923482</v>
      </c>
      <c r="AK248" s="1332">
        <f t="shared" si="243"/>
        <v>0.25907757120000002</v>
      </c>
      <c r="AL248" s="1330"/>
      <c r="AM248" s="1248"/>
      <c r="AN248" s="1249" t="s">
        <v>302</v>
      </c>
      <c r="AO248" s="498" t="s">
        <v>895</v>
      </c>
      <c r="AP248" s="1250"/>
      <c r="AQ248" s="1251"/>
    </row>
    <row r="249" spans="1:43" ht="127.5" x14ac:dyDescent="0.25">
      <c r="A249" s="271" t="s">
        <v>677</v>
      </c>
      <c r="B249" s="239" t="s">
        <v>849</v>
      </c>
      <c r="C249" s="386">
        <v>0</v>
      </c>
      <c r="D249" s="319">
        <v>1</v>
      </c>
      <c r="E249" s="233">
        <v>0</v>
      </c>
      <c r="F249" s="1232">
        <v>0</v>
      </c>
      <c r="G249" s="1232"/>
      <c r="H249" s="167" t="e">
        <f t="shared" si="300"/>
        <v>#DIV/0!</v>
      </c>
      <c r="I249" s="520">
        <f t="shared" si="301"/>
        <v>0</v>
      </c>
      <c r="J249" s="1418" t="s">
        <v>1036</v>
      </c>
      <c r="K249" s="1418"/>
      <c r="L249" s="1454"/>
      <c r="M249" s="1455"/>
      <c r="N249" s="1238"/>
      <c r="O249" s="1418"/>
      <c r="P249" s="1418"/>
      <c r="Q249" s="1418"/>
      <c r="R249" s="1239"/>
      <c r="S249" s="1418"/>
      <c r="T249" s="1419">
        <v>1</v>
      </c>
      <c r="U249" s="1241">
        <f t="shared" si="302"/>
        <v>0</v>
      </c>
      <c r="V249" s="170">
        <f t="shared" si="303"/>
        <v>0</v>
      </c>
      <c r="W249" s="425">
        <v>0.3</v>
      </c>
      <c r="X249" s="443">
        <v>0.3</v>
      </c>
      <c r="Y249" s="479">
        <v>80000000</v>
      </c>
      <c r="Z249" s="287">
        <v>0</v>
      </c>
      <c r="AA249" s="1388">
        <v>78209231</v>
      </c>
      <c r="AB249" s="208">
        <f t="shared" si="240"/>
        <v>0.97761538749999999</v>
      </c>
      <c r="AC249" s="206">
        <v>73444670</v>
      </c>
      <c r="AD249" s="1389">
        <f t="shared" si="241"/>
        <v>0.91805837499999998</v>
      </c>
      <c r="AE249" s="1247">
        <f>+AA249-AC249</f>
        <v>4764561</v>
      </c>
      <c r="AF249" s="1388"/>
      <c r="AG249" s="1388"/>
      <c r="AH249" s="506" t="e">
        <f t="shared" si="242"/>
        <v>#DIV/0!</v>
      </c>
      <c r="AI249" s="1245">
        <v>100000000</v>
      </c>
      <c r="AJ249" s="1255">
        <f t="shared" si="304"/>
        <v>78209231</v>
      </c>
      <c r="AK249" s="1390">
        <f t="shared" si="243"/>
        <v>0.78209231000000001</v>
      </c>
      <c r="AL249" s="1330"/>
      <c r="AM249" s="1248"/>
      <c r="AN249" s="1249" t="s">
        <v>302</v>
      </c>
      <c r="AO249" s="498" t="s">
        <v>895</v>
      </c>
      <c r="AP249" s="1250"/>
      <c r="AQ249" s="1251"/>
    </row>
    <row r="250" spans="1:43" ht="51" x14ac:dyDescent="0.25">
      <c r="A250" s="1201" t="s">
        <v>448</v>
      </c>
      <c r="B250" s="1202"/>
      <c r="C250" s="1203"/>
      <c r="D250" s="1204"/>
      <c r="E250" s="1205"/>
      <c r="F250" s="1203"/>
      <c r="G250" s="1203"/>
      <c r="H250" s="1206">
        <f>+(H251*W251)+(H257*W257)</f>
        <v>0.94860000000000011</v>
      </c>
      <c r="I250" s="1260">
        <f>+(I251*X251)+(I257*X257)</f>
        <v>0.94000000000000006</v>
      </c>
      <c r="J250" s="1413"/>
      <c r="K250" s="1413"/>
      <c r="L250" s="1207"/>
      <c r="M250" s="1208"/>
      <c r="N250" s="1208"/>
      <c r="O250" s="1413"/>
      <c r="P250" s="1413"/>
      <c r="Q250" s="1413"/>
      <c r="R250" s="1310"/>
      <c r="S250" s="1413"/>
      <c r="T250" s="1414"/>
      <c r="U250" s="1211"/>
      <c r="V250" s="1212">
        <f>+(V251*W251)+(V257*W257)</f>
        <v>0.62800000000000011</v>
      </c>
      <c r="W250" s="1213">
        <v>0.1</v>
      </c>
      <c r="X250" s="1214">
        <v>0.1</v>
      </c>
      <c r="Y250" s="1215">
        <f>+Y251+Y257</f>
        <v>665000000</v>
      </c>
      <c r="Z250" s="1215">
        <f>+Z251+Z257</f>
        <v>163061300</v>
      </c>
      <c r="AA250" s="1215">
        <f>+AA251+AA257</f>
        <v>636452502</v>
      </c>
      <c r="AB250" s="1216">
        <f t="shared" si="240"/>
        <v>0.95707143157894736</v>
      </c>
      <c r="AC250" s="1215">
        <f>+AC251+AC257</f>
        <v>489310270</v>
      </c>
      <c r="AD250" s="1313">
        <f t="shared" si="241"/>
        <v>0.73580491729323305</v>
      </c>
      <c r="AE250" s="1215">
        <f>+AE251+AE257</f>
        <v>147142232</v>
      </c>
      <c r="AF250" s="1215">
        <f>+AF251+AF257</f>
        <v>119061300</v>
      </c>
      <c r="AG250" s="1215">
        <f>+AG251+AG257</f>
        <v>119061300</v>
      </c>
      <c r="AH250" s="1219">
        <f t="shared" si="242"/>
        <v>1</v>
      </c>
      <c r="AI250" s="1215">
        <f t="shared" ref="AI250" si="305">+AI251+AI257</f>
        <v>3646000000</v>
      </c>
      <c r="AJ250" s="1215">
        <f>+AJ251+AJ257</f>
        <v>799513802</v>
      </c>
      <c r="AK250" s="209">
        <f t="shared" si="243"/>
        <v>0.21928518979703784</v>
      </c>
      <c r="AL250" s="161"/>
      <c r="AM250" s="1221" t="s">
        <v>301</v>
      </c>
      <c r="AN250" s="1222"/>
      <c r="AO250" s="1215"/>
      <c r="AP250" s="1223"/>
      <c r="AQ250" s="1224"/>
    </row>
    <row r="251" spans="1:43" x14ac:dyDescent="0.25">
      <c r="A251" s="241" t="s">
        <v>502</v>
      </c>
      <c r="B251" s="140"/>
      <c r="C251" s="141"/>
      <c r="D251" s="187"/>
      <c r="E251" s="181"/>
      <c r="F251" s="141"/>
      <c r="G251" s="141"/>
      <c r="H251" s="142">
        <f>+(H252*50%)+(H253*50%)</f>
        <v>0.92500000000000004</v>
      </c>
      <c r="I251" s="157">
        <f>+SUMPRODUCT(I252:I256,X252:X256)</f>
        <v>0.9</v>
      </c>
      <c r="J251" s="172"/>
      <c r="K251" s="172"/>
      <c r="L251" s="143"/>
      <c r="M251" s="144"/>
      <c r="N251" s="144"/>
      <c r="O251" s="172"/>
      <c r="P251" s="172"/>
      <c r="Q251" s="172"/>
      <c r="R251" s="158"/>
      <c r="S251" s="172"/>
      <c r="T251" s="193"/>
      <c r="U251" s="202"/>
      <c r="V251" s="165">
        <f>+SUMPRODUCT(V252:V256,W252:W256)</f>
        <v>0.5</v>
      </c>
      <c r="W251" s="142">
        <v>0.6</v>
      </c>
      <c r="X251" s="394">
        <v>0.6</v>
      </c>
      <c r="Y251" s="145">
        <f>SUM(Y252:Y256)</f>
        <v>440000000</v>
      </c>
      <c r="Z251" s="145">
        <f>SUM(Z252:Z256)</f>
        <v>105061300</v>
      </c>
      <c r="AA251" s="145">
        <f>SUM(AA252:AA256)</f>
        <v>414875620</v>
      </c>
      <c r="AB251" s="207">
        <f t="shared" si="240"/>
        <v>0.94289913636363631</v>
      </c>
      <c r="AC251" s="145">
        <f>SUM(AC252:AC256)</f>
        <v>340159917</v>
      </c>
      <c r="AD251" s="1386">
        <f t="shared" si="241"/>
        <v>0.77309072045454541</v>
      </c>
      <c r="AE251" s="145">
        <f>SUM(AE252:AE256)</f>
        <v>74715703</v>
      </c>
      <c r="AF251" s="145">
        <f>SUM(AF252:AF256)</f>
        <v>105061300</v>
      </c>
      <c r="AG251" s="145">
        <f>SUM(AG252:AG256)</f>
        <v>105061300</v>
      </c>
      <c r="AH251" s="505">
        <f t="shared" si="242"/>
        <v>1</v>
      </c>
      <c r="AI251" s="145">
        <f t="shared" ref="AI251" si="306">SUM(AI252:AI256)</f>
        <v>2096000000</v>
      </c>
      <c r="AJ251" s="145">
        <f>SUM(AJ252:AJ256)</f>
        <v>519936920</v>
      </c>
      <c r="AK251" s="1321">
        <f t="shared" si="243"/>
        <v>0.24806150763358778</v>
      </c>
      <c r="AL251" s="166"/>
      <c r="AM251" s="159"/>
      <c r="AN251" s="482"/>
      <c r="AO251" s="145"/>
      <c r="AP251" s="483"/>
      <c r="AQ251" s="101"/>
    </row>
    <row r="252" spans="1:43" ht="204" x14ac:dyDescent="0.25">
      <c r="A252" s="272" t="s">
        <v>678</v>
      </c>
      <c r="B252" s="362" t="s">
        <v>850</v>
      </c>
      <c r="C252" s="390">
        <v>1</v>
      </c>
      <c r="D252" s="322">
        <v>1</v>
      </c>
      <c r="E252" s="224">
        <v>0.7</v>
      </c>
      <c r="F252" s="169">
        <v>1</v>
      </c>
      <c r="G252" s="169">
        <v>0.15</v>
      </c>
      <c r="H252" s="167">
        <f t="shared" ref="H252:H256" si="307">IF((E252+G252)/C252&gt;=100%,100%,(E252+G252)/C252)</f>
        <v>0.85</v>
      </c>
      <c r="I252" s="520">
        <f t="shared" ref="I252:I256" si="308">IF(F252/D252&gt;=100%,100%,F252/D252)</f>
        <v>1</v>
      </c>
      <c r="J252" s="1418" t="s">
        <v>1037</v>
      </c>
      <c r="K252" s="1418"/>
      <c r="L252" s="1236"/>
      <c r="M252" s="1237"/>
      <c r="N252" s="1238"/>
      <c r="O252" s="1418"/>
      <c r="P252" s="1418"/>
      <c r="Q252" s="1418"/>
      <c r="R252" s="1239"/>
      <c r="S252" s="1418"/>
      <c r="T252" s="238">
        <v>1</v>
      </c>
      <c r="U252" s="1241">
        <f t="shared" ref="U252:U256" si="309">SUM(E252:F252)</f>
        <v>1.7</v>
      </c>
      <c r="V252" s="170">
        <f t="shared" ref="V252:V256" si="310">IF(U252/T252&gt;=100%,100%,U252/T252)</f>
        <v>1</v>
      </c>
      <c r="W252" s="426">
        <v>0.25</v>
      </c>
      <c r="X252" s="395">
        <v>0.4</v>
      </c>
      <c r="Y252" s="512">
        <v>100000000</v>
      </c>
      <c r="Z252" s="289">
        <v>105061300</v>
      </c>
      <c r="AA252" s="1388">
        <v>98248570</v>
      </c>
      <c r="AB252" s="208">
        <f t="shared" si="240"/>
        <v>0.98248570000000002</v>
      </c>
      <c r="AC252" s="206">
        <v>62456946</v>
      </c>
      <c r="AD252" s="1389">
        <f t="shared" si="241"/>
        <v>0.62456946000000002</v>
      </c>
      <c r="AE252" s="1247">
        <f>+AA252-AC252</f>
        <v>35791624</v>
      </c>
      <c r="AF252" s="1388">
        <v>105061300</v>
      </c>
      <c r="AG252" s="1388">
        <v>105061300</v>
      </c>
      <c r="AH252" s="506">
        <f t="shared" si="242"/>
        <v>1</v>
      </c>
      <c r="AI252" s="1255">
        <f>1896000000/4</f>
        <v>474000000</v>
      </c>
      <c r="AJ252" s="1255">
        <f t="shared" ref="AJ252:AJ259" si="311">+SUM(Z252:AA252)</f>
        <v>203309870</v>
      </c>
      <c r="AK252" s="1332">
        <f t="shared" si="243"/>
        <v>0.42892377637130802</v>
      </c>
      <c r="AL252" s="1330"/>
      <c r="AM252" s="1248"/>
      <c r="AN252" s="1249" t="s">
        <v>302</v>
      </c>
      <c r="AO252" s="496" t="s">
        <v>895</v>
      </c>
      <c r="AP252" s="1250"/>
      <c r="AQ252" s="1251"/>
    </row>
    <row r="253" spans="1:43" ht="51" x14ac:dyDescent="0.25">
      <c r="A253" s="269" t="s">
        <v>679</v>
      </c>
      <c r="B253" s="360" t="s">
        <v>851</v>
      </c>
      <c r="C253" s="390">
        <v>1</v>
      </c>
      <c r="D253" s="322">
        <v>1</v>
      </c>
      <c r="E253" s="238">
        <v>1</v>
      </c>
      <c r="F253" s="169">
        <v>1</v>
      </c>
      <c r="G253" s="1232"/>
      <c r="H253" s="167">
        <f t="shared" si="307"/>
        <v>1</v>
      </c>
      <c r="I253" s="520">
        <f t="shared" si="308"/>
        <v>1</v>
      </c>
      <c r="J253" s="1418" t="s">
        <v>1038</v>
      </c>
      <c r="K253" s="1418"/>
      <c r="L253" s="1236"/>
      <c r="M253" s="1237"/>
      <c r="N253" s="1238"/>
      <c r="O253" s="1418"/>
      <c r="P253" s="1418"/>
      <c r="Q253" s="1418"/>
      <c r="R253" s="1239"/>
      <c r="S253" s="1418"/>
      <c r="T253" s="238">
        <v>1</v>
      </c>
      <c r="U253" s="1241">
        <f t="shared" si="309"/>
        <v>2</v>
      </c>
      <c r="V253" s="170">
        <f t="shared" si="310"/>
        <v>1</v>
      </c>
      <c r="W253" s="424">
        <v>0.25</v>
      </c>
      <c r="X253" s="395">
        <v>0.5</v>
      </c>
      <c r="Y253" s="512">
        <v>50000000</v>
      </c>
      <c r="Z253" s="289">
        <v>0</v>
      </c>
      <c r="AA253" s="1388">
        <v>32857008</v>
      </c>
      <c r="AB253" s="208">
        <f t="shared" si="240"/>
        <v>0.65714015999999997</v>
      </c>
      <c r="AC253" s="206">
        <v>11887325</v>
      </c>
      <c r="AD253" s="1331">
        <f t="shared" si="241"/>
        <v>0.2377465</v>
      </c>
      <c r="AE253" s="1247">
        <f>+AA253-AC253</f>
        <v>20969683</v>
      </c>
      <c r="AF253" s="1388"/>
      <c r="AG253" s="1388"/>
      <c r="AH253" s="506" t="e">
        <f t="shared" si="242"/>
        <v>#DIV/0!</v>
      </c>
      <c r="AI253" s="1255">
        <f t="shared" ref="AI253:AI255" si="312">1896000000/4</f>
        <v>474000000</v>
      </c>
      <c r="AJ253" s="1255">
        <f t="shared" si="311"/>
        <v>32857008</v>
      </c>
      <c r="AK253" s="1332">
        <f t="shared" si="243"/>
        <v>6.9318582278481006E-2</v>
      </c>
      <c r="AL253" s="1330"/>
      <c r="AM253" s="1248"/>
      <c r="AN253" s="1249" t="s">
        <v>302</v>
      </c>
      <c r="AO253" s="496" t="s">
        <v>895</v>
      </c>
      <c r="AP253" s="1250"/>
      <c r="AQ253" s="1251"/>
    </row>
    <row r="254" spans="1:43" ht="63.75" x14ac:dyDescent="0.25">
      <c r="A254" s="269" t="s">
        <v>680</v>
      </c>
      <c r="B254" s="360" t="s">
        <v>852</v>
      </c>
      <c r="C254" s="388">
        <v>0</v>
      </c>
      <c r="D254" s="321">
        <v>0</v>
      </c>
      <c r="E254" s="1234">
        <v>0</v>
      </c>
      <c r="F254" s="1232"/>
      <c r="G254" s="1232"/>
      <c r="H254" s="167" t="e">
        <f t="shared" si="307"/>
        <v>#DIV/0!</v>
      </c>
      <c r="I254" s="520">
        <v>0</v>
      </c>
      <c r="J254" s="1418"/>
      <c r="K254" s="1418"/>
      <c r="L254" s="1236"/>
      <c r="M254" s="1237"/>
      <c r="N254" s="1238"/>
      <c r="O254" s="1418"/>
      <c r="P254" s="1418"/>
      <c r="Q254" s="1418"/>
      <c r="R254" s="1239"/>
      <c r="S254" s="1418"/>
      <c r="T254" s="236">
        <v>1</v>
      </c>
      <c r="U254" s="1241">
        <f t="shared" si="309"/>
        <v>0</v>
      </c>
      <c r="V254" s="170">
        <f t="shared" si="310"/>
        <v>0</v>
      </c>
      <c r="W254" s="424">
        <v>0.2</v>
      </c>
      <c r="X254" s="395">
        <v>0</v>
      </c>
      <c r="Y254" s="545">
        <v>100000000</v>
      </c>
      <c r="Z254" s="289">
        <v>0</v>
      </c>
      <c r="AA254" s="1388">
        <v>98116308</v>
      </c>
      <c r="AB254" s="208">
        <f t="shared" si="240"/>
        <v>0.98116307999999997</v>
      </c>
      <c r="AC254" s="206">
        <v>91887325</v>
      </c>
      <c r="AD254" s="1389">
        <f t="shared" si="241"/>
        <v>0.91887324999999997</v>
      </c>
      <c r="AE254" s="1247">
        <f>+AA254-AC254</f>
        <v>6228983</v>
      </c>
      <c r="AF254" s="1388"/>
      <c r="AG254" s="1388"/>
      <c r="AH254" s="506" t="e">
        <f t="shared" si="242"/>
        <v>#DIV/0!</v>
      </c>
      <c r="AI254" s="1255">
        <f t="shared" si="312"/>
        <v>474000000</v>
      </c>
      <c r="AJ254" s="1255">
        <f t="shared" si="311"/>
        <v>98116308</v>
      </c>
      <c r="AK254" s="1332">
        <f t="shared" si="243"/>
        <v>0.20699643037974683</v>
      </c>
      <c r="AL254" s="1330"/>
      <c r="AM254" s="1248"/>
      <c r="AN254" s="1249" t="s">
        <v>302</v>
      </c>
      <c r="AO254" s="1887" t="s">
        <v>895</v>
      </c>
      <c r="AP254" s="1250"/>
      <c r="AQ254" s="1251"/>
    </row>
    <row r="255" spans="1:43" ht="63.75" x14ac:dyDescent="0.25">
      <c r="A255" s="269" t="s">
        <v>681</v>
      </c>
      <c r="B255" s="360" t="s">
        <v>852</v>
      </c>
      <c r="C255" s="388">
        <v>0</v>
      </c>
      <c r="D255" s="321">
        <v>0</v>
      </c>
      <c r="E255" s="1234">
        <v>0</v>
      </c>
      <c r="F255" s="1232"/>
      <c r="G255" s="1232"/>
      <c r="H255" s="167" t="e">
        <f t="shared" si="307"/>
        <v>#DIV/0!</v>
      </c>
      <c r="I255" s="520">
        <v>0</v>
      </c>
      <c r="J255" s="1418"/>
      <c r="K255" s="1418"/>
      <c r="L255" s="1236"/>
      <c r="M255" s="1237"/>
      <c r="N255" s="1238"/>
      <c r="O255" s="1418"/>
      <c r="P255" s="1418"/>
      <c r="Q255" s="1418"/>
      <c r="R255" s="1239"/>
      <c r="S255" s="1418"/>
      <c r="T255" s="236">
        <v>1</v>
      </c>
      <c r="U255" s="1241">
        <f t="shared" si="309"/>
        <v>0</v>
      </c>
      <c r="V255" s="170">
        <f t="shared" si="310"/>
        <v>0</v>
      </c>
      <c r="W255" s="424">
        <v>0.2</v>
      </c>
      <c r="X255" s="395">
        <v>0</v>
      </c>
      <c r="Y255" s="545">
        <v>100000000</v>
      </c>
      <c r="Z255" s="289">
        <v>0</v>
      </c>
      <c r="AA255" s="1388">
        <v>98116308</v>
      </c>
      <c r="AB255" s="208">
        <f t="shared" si="240"/>
        <v>0.98116307999999997</v>
      </c>
      <c r="AC255" s="206">
        <v>91887325</v>
      </c>
      <c r="AD255" s="1389">
        <f t="shared" si="241"/>
        <v>0.91887324999999997</v>
      </c>
      <c r="AE255" s="1247">
        <f>+AA255-AC255</f>
        <v>6228983</v>
      </c>
      <c r="AF255" s="1388"/>
      <c r="AG255" s="1388"/>
      <c r="AH255" s="506" t="e">
        <f t="shared" si="242"/>
        <v>#DIV/0!</v>
      </c>
      <c r="AI255" s="1255">
        <f t="shared" si="312"/>
        <v>474000000</v>
      </c>
      <c r="AJ255" s="1255">
        <f t="shared" si="311"/>
        <v>98116308</v>
      </c>
      <c r="AK255" s="1332">
        <f t="shared" si="243"/>
        <v>0.20699643037974683</v>
      </c>
      <c r="AL255" s="1330"/>
      <c r="AM255" s="1248"/>
      <c r="AN255" s="1249" t="s">
        <v>302</v>
      </c>
      <c r="AO255" s="1870"/>
      <c r="AP255" s="1250"/>
      <c r="AQ255" s="1251"/>
    </row>
    <row r="256" spans="1:43" ht="76.5" x14ac:dyDescent="0.25">
      <c r="A256" s="269" t="s">
        <v>682</v>
      </c>
      <c r="B256" s="360" t="s">
        <v>853</v>
      </c>
      <c r="C256" s="388">
        <v>0</v>
      </c>
      <c r="D256" s="321">
        <v>1</v>
      </c>
      <c r="E256" s="1234">
        <v>0</v>
      </c>
      <c r="F256" s="1232">
        <v>0</v>
      </c>
      <c r="G256" s="1232"/>
      <c r="H256" s="167" t="e">
        <f t="shared" si="307"/>
        <v>#DIV/0!</v>
      </c>
      <c r="I256" s="520">
        <f t="shared" si="308"/>
        <v>0</v>
      </c>
      <c r="J256" s="1418" t="s">
        <v>1039</v>
      </c>
      <c r="K256" s="1418"/>
      <c r="L256" s="1236"/>
      <c r="M256" s="1237"/>
      <c r="N256" s="1238"/>
      <c r="O256" s="1418"/>
      <c r="P256" s="1418"/>
      <c r="Q256" s="1418"/>
      <c r="R256" s="1239"/>
      <c r="S256" s="1418"/>
      <c r="T256" s="236">
        <v>3</v>
      </c>
      <c r="U256" s="1241">
        <f t="shared" si="309"/>
        <v>0</v>
      </c>
      <c r="V256" s="170">
        <f t="shared" si="310"/>
        <v>0</v>
      </c>
      <c r="W256" s="424">
        <v>0.1</v>
      </c>
      <c r="X256" s="395">
        <v>0.1</v>
      </c>
      <c r="Y256" s="546">
        <v>90000000</v>
      </c>
      <c r="Z256" s="289">
        <v>0</v>
      </c>
      <c r="AA256" s="1388">
        <v>87537426</v>
      </c>
      <c r="AB256" s="208">
        <f t="shared" si="240"/>
        <v>0.97263806666666663</v>
      </c>
      <c r="AC256" s="206">
        <v>82040996</v>
      </c>
      <c r="AD256" s="1389">
        <f t="shared" si="241"/>
        <v>0.91156662222222218</v>
      </c>
      <c r="AE256" s="1247">
        <f>+AA256-AC256</f>
        <v>5496430</v>
      </c>
      <c r="AF256" s="1388"/>
      <c r="AG256" s="1388"/>
      <c r="AH256" s="506" t="e">
        <f t="shared" si="242"/>
        <v>#DIV/0!</v>
      </c>
      <c r="AI256" s="1255">
        <v>200000000</v>
      </c>
      <c r="AJ256" s="1255">
        <f t="shared" si="311"/>
        <v>87537426</v>
      </c>
      <c r="AK256" s="1332">
        <f t="shared" si="243"/>
        <v>0.43768712999999998</v>
      </c>
      <c r="AL256" s="1330"/>
      <c r="AM256" s="1248"/>
      <c r="AN256" s="1249" t="s">
        <v>302</v>
      </c>
      <c r="AO256" s="496" t="s">
        <v>895</v>
      </c>
      <c r="AP256" s="1250"/>
      <c r="AQ256" s="1251"/>
    </row>
    <row r="257" spans="1:44" ht="25.5" x14ac:dyDescent="0.25">
      <c r="A257" s="241" t="s">
        <v>503</v>
      </c>
      <c r="B257" s="140"/>
      <c r="C257" s="141"/>
      <c r="D257" s="187"/>
      <c r="E257" s="181"/>
      <c r="F257" s="141"/>
      <c r="G257" s="141"/>
      <c r="H257" s="142">
        <f>+SUMPRODUCT(H258:H259,W258:W259)</f>
        <v>0.98399999999999999</v>
      </c>
      <c r="I257" s="157">
        <f>+SUMPRODUCT(I258:I259,X258:X259)</f>
        <v>1</v>
      </c>
      <c r="J257" s="172"/>
      <c r="K257" s="172"/>
      <c r="L257" s="143"/>
      <c r="M257" s="144"/>
      <c r="N257" s="144"/>
      <c r="O257" s="172"/>
      <c r="P257" s="172"/>
      <c r="Q257" s="172"/>
      <c r="R257" s="158"/>
      <c r="S257" s="172"/>
      <c r="T257" s="193"/>
      <c r="U257" s="202"/>
      <c r="V257" s="165">
        <f>+SUMPRODUCT(V258:V259,W258:W259)</f>
        <v>0.82000000000000006</v>
      </c>
      <c r="W257" s="142">
        <v>0.4</v>
      </c>
      <c r="X257" s="394">
        <v>0.4</v>
      </c>
      <c r="Y257" s="145">
        <f>SUM(Y258:Y259)</f>
        <v>225000000</v>
      </c>
      <c r="Z257" s="145">
        <f>SUM(Z258:Z259)</f>
        <v>58000000</v>
      </c>
      <c r="AA257" s="145">
        <f>SUM(AA258:AA259)</f>
        <v>221576882</v>
      </c>
      <c r="AB257" s="207">
        <f t="shared" si="240"/>
        <v>0.98478614222222227</v>
      </c>
      <c r="AC257" s="145">
        <f>SUM(AC258:AC259)</f>
        <v>149150353</v>
      </c>
      <c r="AD257" s="1386">
        <f t="shared" si="241"/>
        <v>0.66289045777777778</v>
      </c>
      <c r="AE257" s="145">
        <f>SUM(AE258:AE259)</f>
        <v>72426529</v>
      </c>
      <c r="AF257" s="145">
        <f>SUM(AF258:AF259)</f>
        <v>14000000</v>
      </c>
      <c r="AG257" s="145">
        <f>SUM(AG258:AG259)</f>
        <v>14000000</v>
      </c>
      <c r="AH257" s="505">
        <f t="shared" si="242"/>
        <v>1</v>
      </c>
      <c r="AI257" s="145">
        <f t="shared" ref="AI257" si="313">SUM(AI258:AI259)</f>
        <v>1550000000</v>
      </c>
      <c r="AJ257" s="145">
        <f>SUM(AJ258:AJ259)</f>
        <v>279576882</v>
      </c>
      <c r="AK257" s="1321">
        <f t="shared" si="243"/>
        <v>0.18037218193548388</v>
      </c>
      <c r="AL257" s="166"/>
      <c r="AM257" s="159"/>
      <c r="AN257" s="482"/>
      <c r="AO257" s="145"/>
      <c r="AP257" s="483"/>
      <c r="AQ257" s="101"/>
    </row>
    <row r="258" spans="1:44" ht="76.5" x14ac:dyDescent="0.25">
      <c r="A258" s="270" t="s">
        <v>683</v>
      </c>
      <c r="B258" s="363" t="s">
        <v>854</v>
      </c>
      <c r="C258" s="391">
        <v>0.2</v>
      </c>
      <c r="D258" s="323">
        <v>0.5</v>
      </c>
      <c r="E258" s="240">
        <v>0.2</v>
      </c>
      <c r="F258" s="169">
        <v>0.5</v>
      </c>
      <c r="G258" s="1232"/>
      <c r="H258" s="167">
        <f t="shared" ref="H258:H259" si="314">IF((E258+G258)/C258&gt;=100%,100%,(E258+G258)/C258)</f>
        <v>1</v>
      </c>
      <c r="I258" s="520">
        <f t="shared" ref="I258:I259" si="315">IF(F258/D258&gt;=100%,100%,F258/D258)</f>
        <v>1</v>
      </c>
      <c r="J258" s="1418" t="s">
        <v>1040</v>
      </c>
      <c r="K258" s="1418"/>
      <c r="L258" s="1236"/>
      <c r="M258" s="1237"/>
      <c r="N258" s="1238"/>
      <c r="O258" s="1418"/>
      <c r="P258" s="1418"/>
      <c r="Q258" s="1418"/>
      <c r="R258" s="1239"/>
      <c r="S258" s="1418"/>
      <c r="T258" s="238">
        <v>1</v>
      </c>
      <c r="U258" s="1241">
        <f t="shared" ref="U258:U259" si="316">SUM(E258:F258)</f>
        <v>0.7</v>
      </c>
      <c r="V258" s="170">
        <f t="shared" ref="V258:V259" si="317">IF(U258/T258&gt;=100%,100%,U258/T258)</f>
        <v>0.7</v>
      </c>
      <c r="W258" s="1327">
        <v>0.6</v>
      </c>
      <c r="X258" s="1369">
        <v>0.6</v>
      </c>
      <c r="Y258" s="545">
        <v>130000000</v>
      </c>
      <c r="Z258" s="289">
        <v>12000000</v>
      </c>
      <c r="AA258" s="1388">
        <v>127819314</v>
      </c>
      <c r="AB258" s="208">
        <f t="shared" si="240"/>
        <v>0.98322549230769229</v>
      </c>
      <c r="AC258" s="206">
        <v>61201252</v>
      </c>
      <c r="AD258" s="1331">
        <f t="shared" si="241"/>
        <v>0.47077886153846155</v>
      </c>
      <c r="AE258" s="1247">
        <f>+AA258-AC258</f>
        <v>66618062</v>
      </c>
      <c r="AF258" s="1388"/>
      <c r="AG258" s="1388"/>
      <c r="AH258" s="506" t="e">
        <f t="shared" si="242"/>
        <v>#DIV/0!</v>
      </c>
      <c r="AI258" s="1255">
        <v>1100000000</v>
      </c>
      <c r="AJ258" s="1255">
        <f t="shared" si="311"/>
        <v>139819314</v>
      </c>
      <c r="AK258" s="1332">
        <f t="shared" si="243"/>
        <v>0.12710846727272726</v>
      </c>
      <c r="AL258" s="1330"/>
      <c r="AM258" s="1248"/>
      <c r="AN258" s="1249" t="s">
        <v>302</v>
      </c>
      <c r="AO258" s="497" t="s">
        <v>895</v>
      </c>
      <c r="AP258" s="1250"/>
      <c r="AQ258" s="1251"/>
    </row>
    <row r="259" spans="1:44" ht="76.5" x14ac:dyDescent="0.25">
      <c r="A259" s="270" t="s">
        <v>684</v>
      </c>
      <c r="B259" s="1458" t="s">
        <v>29</v>
      </c>
      <c r="C259" s="391">
        <v>1</v>
      </c>
      <c r="D259" s="323">
        <v>1</v>
      </c>
      <c r="E259" s="240">
        <v>0.8</v>
      </c>
      <c r="F259" s="169">
        <v>1</v>
      </c>
      <c r="G259" s="169">
        <v>0.16</v>
      </c>
      <c r="H259" s="167">
        <f t="shared" si="314"/>
        <v>0.96000000000000008</v>
      </c>
      <c r="I259" s="520">
        <f t="shared" si="315"/>
        <v>1</v>
      </c>
      <c r="J259" s="1418" t="s">
        <v>1507</v>
      </c>
      <c r="K259" s="1418"/>
      <c r="L259" s="1236"/>
      <c r="M259" s="1237"/>
      <c r="N259" s="1238"/>
      <c r="O259" s="1418"/>
      <c r="P259" s="1418"/>
      <c r="Q259" s="1418"/>
      <c r="R259" s="1239"/>
      <c r="S259" s="1418"/>
      <c r="T259" s="238">
        <v>1</v>
      </c>
      <c r="U259" s="1241">
        <f t="shared" si="316"/>
        <v>1.8</v>
      </c>
      <c r="V259" s="170">
        <f t="shared" si="317"/>
        <v>1</v>
      </c>
      <c r="W259" s="1327">
        <v>0.4</v>
      </c>
      <c r="X259" s="1369">
        <v>0.4</v>
      </c>
      <c r="Y259" s="545">
        <v>95000000</v>
      </c>
      <c r="Z259" s="289">
        <v>46000000</v>
      </c>
      <c r="AA259" s="1388">
        <v>93757568</v>
      </c>
      <c r="AB259" s="208">
        <f t="shared" si="240"/>
        <v>0.98692176842105261</v>
      </c>
      <c r="AC259" s="206">
        <v>87949101</v>
      </c>
      <c r="AD259" s="1389">
        <f t="shared" si="241"/>
        <v>0.92578001052631576</v>
      </c>
      <c r="AE259" s="1247">
        <f>+AA259-AC259</f>
        <v>5808467</v>
      </c>
      <c r="AF259" s="1388">
        <v>14000000</v>
      </c>
      <c r="AG259" s="1388">
        <v>14000000</v>
      </c>
      <c r="AH259" s="506">
        <f t="shared" si="242"/>
        <v>1</v>
      </c>
      <c r="AI259" s="1255">
        <v>450000000</v>
      </c>
      <c r="AJ259" s="1255">
        <f t="shared" si="311"/>
        <v>139757568</v>
      </c>
      <c r="AK259" s="1332">
        <f t="shared" si="243"/>
        <v>0.31057237333333332</v>
      </c>
      <c r="AL259" s="1330"/>
      <c r="AM259" s="1248"/>
      <c r="AN259" s="1249" t="s">
        <v>29</v>
      </c>
      <c r="AO259" s="497" t="s">
        <v>895</v>
      </c>
      <c r="AP259" s="1250"/>
      <c r="AQ259" s="1251"/>
    </row>
    <row r="260" spans="1:44" ht="51" x14ac:dyDescent="0.25">
      <c r="A260" s="1201" t="s">
        <v>449</v>
      </c>
      <c r="B260" s="1202"/>
      <c r="C260" s="1203"/>
      <c r="D260" s="1204"/>
      <c r="E260" s="1205"/>
      <c r="F260" s="1203"/>
      <c r="G260" s="1212"/>
      <c r="H260" s="1206">
        <f>+(H261*100%)</f>
        <v>1</v>
      </c>
      <c r="I260" s="1260">
        <f>+(I261*X261)+(I266*X266)+(I268*X268)</f>
        <v>0.4</v>
      </c>
      <c r="J260" s="1413"/>
      <c r="K260" s="1413"/>
      <c r="L260" s="1207"/>
      <c r="M260" s="1208"/>
      <c r="N260" s="1208"/>
      <c r="O260" s="1413"/>
      <c r="P260" s="1413"/>
      <c r="Q260" s="1413"/>
      <c r="R260" s="1310"/>
      <c r="S260" s="1413"/>
      <c r="T260" s="1414"/>
      <c r="U260" s="1211"/>
      <c r="V260" s="1212">
        <f>+(V261*W261)+(V266*W266)+(V268*W268)</f>
        <v>0.22499999999999998</v>
      </c>
      <c r="W260" s="1213">
        <v>0.1</v>
      </c>
      <c r="X260" s="1214">
        <v>0.1</v>
      </c>
      <c r="Y260" s="1215">
        <f>+Y261+Y266+Y268</f>
        <v>355000000</v>
      </c>
      <c r="Z260" s="1215">
        <f>+Z261+Z266+Z268</f>
        <v>211626200</v>
      </c>
      <c r="AA260" s="1215">
        <f>+AA261+AA266+AA268</f>
        <v>253384705</v>
      </c>
      <c r="AB260" s="1216">
        <f t="shared" si="240"/>
        <v>0.71375973239436619</v>
      </c>
      <c r="AC260" s="1215">
        <f>+AC261+AC266+AC268</f>
        <v>163299560</v>
      </c>
      <c r="AD260" s="1434">
        <f t="shared" si="241"/>
        <v>0.45999876056338029</v>
      </c>
      <c r="AE260" s="1215">
        <f>+AE261+AE266+AE268</f>
        <v>90085145</v>
      </c>
      <c r="AF260" s="1215">
        <f>+AF261+AF266+AF268</f>
        <v>117400000</v>
      </c>
      <c r="AG260" s="1215">
        <f>+AG261+AG266+AG268</f>
        <v>115536666</v>
      </c>
      <c r="AH260" s="1219">
        <f t="shared" si="242"/>
        <v>0.98412833049403747</v>
      </c>
      <c r="AI260" s="1215">
        <f t="shared" ref="AI260" si="318">+AI261+AI266+AI268</f>
        <v>1750000000</v>
      </c>
      <c r="AJ260" s="1215">
        <f>+AJ261+AJ266+AJ268</f>
        <v>465010905</v>
      </c>
      <c r="AK260" s="209">
        <f t="shared" si="243"/>
        <v>0.26572051714285716</v>
      </c>
      <c r="AL260" s="161"/>
      <c r="AM260" s="1221" t="s">
        <v>301</v>
      </c>
      <c r="AN260" s="1222"/>
      <c r="AO260" s="1215"/>
      <c r="AP260" s="1223"/>
      <c r="AQ260" s="1224"/>
    </row>
    <row r="261" spans="1:44" ht="38.25" x14ac:dyDescent="0.25">
      <c r="A261" s="241" t="s">
        <v>504</v>
      </c>
      <c r="B261" s="140"/>
      <c r="C261" s="141"/>
      <c r="D261" s="187"/>
      <c r="E261" s="181"/>
      <c r="F261" s="141"/>
      <c r="G261" s="141"/>
      <c r="H261" s="142">
        <f>+(H262*50%)+(H263*50%)</f>
        <v>1</v>
      </c>
      <c r="I261" s="157">
        <f>+SUMPRODUCT(I262:I265,X262:X265)</f>
        <v>0.5</v>
      </c>
      <c r="J261" s="172"/>
      <c r="K261" s="172"/>
      <c r="L261" s="143"/>
      <c r="M261" s="144"/>
      <c r="N261" s="144"/>
      <c r="O261" s="172"/>
      <c r="P261" s="172"/>
      <c r="Q261" s="172"/>
      <c r="R261" s="158"/>
      <c r="S261" s="172"/>
      <c r="T261" s="193"/>
      <c r="U261" s="202"/>
      <c r="V261" s="165">
        <f>+SUMPRODUCT(V262:V265,W262:W265)</f>
        <v>0.375</v>
      </c>
      <c r="W261" s="142">
        <v>0.6</v>
      </c>
      <c r="X261" s="394">
        <v>0.8</v>
      </c>
      <c r="Y261" s="145">
        <f>SUM(Y262:Y265)</f>
        <v>180000000</v>
      </c>
      <c r="Z261" s="145">
        <f>SUM(Z262:Z265)</f>
        <v>201626200</v>
      </c>
      <c r="AA261" s="145">
        <f>SUM(AA262:AA265)</f>
        <v>163189902</v>
      </c>
      <c r="AB261" s="207">
        <f t="shared" si="240"/>
        <v>0.90661056666666662</v>
      </c>
      <c r="AC261" s="145">
        <f>SUM(AC262:AC265)</f>
        <v>133732128</v>
      </c>
      <c r="AD261" s="1386">
        <f t="shared" si="241"/>
        <v>0.7429562666666667</v>
      </c>
      <c r="AE261" s="145">
        <f>SUM(AE262:AE265)</f>
        <v>29457774</v>
      </c>
      <c r="AF261" s="145">
        <f>SUM(AF262:AF265)</f>
        <v>117400000</v>
      </c>
      <c r="AG261" s="145">
        <f>SUM(AG262:AG265)</f>
        <v>115536666</v>
      </c>
      <c r="AH261" s="505">
        <f t="shared" si="242"/>
        <v>0.98412833049403747</v>
      </c>
      <c r="AI261" s="145">
        <f t="shared" ref="AI261" si="319">SUM(AI262:AI265)</f>
        <v>1000000000</v>
      </c>
      <c r="AJ261" s="145">
        <f>SUM(AJ262:AJ265)</f>
        <v>364816102</v>
      </c>
      <c r="AK261" s="1321">
        <f t="shared" si="243"/>
        <v>0.36481610199999998</v>
      </c>
      <c r="AL261" s="166"/>
      <c r="AM261" s="159"/>
      <c r="AN261" s="482"/>
      <c r="AO261" s="145"/>
      <c r="AP261" s="483"/>
      <c r="AQ261" s="101"/>
    </row>
    <row r="262" spans="1:44" ht="76.5" x14ac:dyDescent="0.25">
      <c r="A262" s="268" t="s">
        <v>685</v>
      </c>
      <c r="B262" s="359" t="s">
        <v>855</v>
      </c>
      <c r="C262" s="386">
        <v>1</v>
      </c>
      <c r="D262" s="319">
        <v>1</v>
      </c>
      <c r="E262" s="233">
        <v>1</v>
      </c>
      <c r="F262" s="1232">
        <v>1</v>
      </c>
      <c r="G262" s="1232"/>
      <c r="H262" s="167">
        <f t="shared" ref="H262:H265" si="320">IF((E262+G262)/C262&gt;=100%,100%,(E262+G262)/C262)</f>
        <v>1</v>
      </c>
      <c r="I262" s="520">
        <f t="shared" ref="I262:I265" si="321">IF(F262/D262&gt;=100%,100%,F262/D262)</f>
        <v>1</v>
      </c>
      <c r="J262" s="1418" t="s">
        <v>1041</v>
      </c>
      <c r="K262" s="1418"/>
      <c r="L262" s="1236"/>
      <c r="M262" s="1237"/>
      <c r="N262" s="1238"/>
      <c r="O262" s="1418"/>
      <c r="P262" s="1418"/>
      <c r="Q262" s="1418"/>
      <c r="R262" s="1239"/>
      <c r="S262" s="1418"/>
      <c r="T262" s="1419">
        <v>4</v>
      </c>
      <c r="U262" s="1241">
        <f t="shared" ref="U262:U265" si="322">SUM(E262:F262)</f>
        <v>2</v>
      </c>
      <c r="V262" s="170">
        <f t="shared" ref="V262:V265" si="323">IF(U262/T262&gt;=100%,100%,U262/T262)</f>
        <v>0.5</v>
      </c>
      <c r="W262" s="1327">
        <v>0.25</v>
      </c>
      <c r="X262" s="1369">
        <v>0.25</v>
      </c>
      <c r="Y262" s="511">
        <v>45000000</v>
      </c>
      <c r="Z262" s="289">
        <v>40800000</v>
      </c>
      <c r="AA262" s="1388">
        <v>36251938</v>
      </c>
      <c r="AB262" s="208">
        <f t="shared" si="240"/>
        <v>0.80559862222222223</v>
      </c>
      <c r="AC262" s="206">
        <v>33612905</v>
      </c>
      <c r="AD262" s="1389">
        <f t="shared" si="241"/>
        <v>0.74695344444444445</v>
      </c>
      <c r="AE262" s="1247">
        <f>+AA262-AC262</f>
        <v>2639033</v>
      </c>
      <c r="AF262" s="1388">
        <v>5100000</v>
      </c>
      <c r="AG262" s="1388">
        <v>5100000</v>
      </c>
      <c r="AH262" s="506">
        <f t="shared" si="242"/>
        <v>1</v>
      </c>
      <c r="AI262" s="1255">
        <f>1000000000/4</f>
        <v>250000000</v>
      </c>
      <c r="AJ262" s="1255">
        <f t="shared" ref="AJ262:AJ269" si="324">+SUM(Z262:AA262)</f>
        <v>77051938</v>
      </c>
      <c r="AK262" s="1332">
        <f t="shared" si="243"/>
        <v>0.308207752</v>
      </c>
      <c r="AL262" s="1330"/>
      <c r="AM262" s="1248"/>
      <c r="AN262" s="1249" t="s">
        <v>302</v>
      </c>
      <c r="AO262" s="1888" t="s">
        <v>895</v>
      </c>
      <c r="AP262" s="1250"/>
      <c r="AQ262" s="1251"/>
    </row>
    <row r="263" spans="1:44" ht="127.5" x14ac:dyDescent="0.2">
      <c r="A263" s="268" t="s">
        <v>686</v>
      </c>
      <c r="B263" s="359" t="s">
        <v>856</v>
      </c>
      <c r="C263" s="386">
        <v>1</v>
      </c>
      <c r="D263" s="319">
        <v>1</v>
      </c>
      <c r="E263" s="233">
        <v>1</v>
      </c>
      <c r="F263" s="1232">
        <v>1</v>
      </c>
      <c r="G263" s="1232"/>
      <c r="H263" s="167">
        <f t="shared" si="320"/>
        <v>1</v>
      </c>
      <c r="I263" s="520">
        <f t="shared" si="321"/>
        <v>1</v>
      </c>
      <c r="J263" s="1418" t="s">
        <v>1508</v>
      </c>
      <c r="K263" s="1418"/>
      <c r="L263" s="1454"/>
      <c r="M263" s="1455"/>
      <c r="N263" s="1238"/>
      <c r="O263" s="1418"/>
      <c r="P263" s="1418"/>
      <c r="Q263" s="1418"/>
      <c r="R263" s="1239"/>
      <c r="S263" s="1418"/>
      <c r="T263" s="1419">
        <v>1</v>
      </c>
      <c r="U263" s="1241">
        <f t="shared" si="322"/>
        <v>2</v>
      </c>
      <c r="V263" s="170">
        <f t="shared" si="323"/>
        <v>1</v>
      </c>
      <c r="W263" s="1327">
        <v>0.25</v>
      </c>
      <c r="X263" s="1369">
        <v>0.25</v>
      </c>
      <c r="Y263" s="511">
        <v>45000000</v>
      </c>
      <c r="Z263" s="289">
        <v>47326200</v>
      </c>
      <c r="AA263" s="1388">
        <v>44534088</v>
      </c>
      <c r="AB263" s="208">
        <f t="shared" si="240"/>
        <v>0.98964640000000004</v>
      </c>
      <c r="AC263" s="206">
        <v>42993413</v>
      </c>
      <c r="AD263" s="1389">
        <f t="shared" si="241"/>
        <v>0.95540917777777778</v>
      </c>
      <c r="AE263" s="1247">
        <f>+AA263-AC263</f>
        <v>1540675</v>
      </c>
      <c r="AF263" s="1388">
        <v>8000000</v>
      </c>
      <c r="AG263" s="1388">
        <v>8000000</v>
      </c>
      <c r="AH263" s="506">
        <f t="shared" si="242"/>
        <v>1</v>
      </c>
      <c r="AI263" s="1255">
        <f t="shared" ref="AI263:AI265" si="325">1000000000/4</f>
        <v>250000000</v>
      </c>
      <c r="AJ263" s="1255">
        <f t="shared" si="324"/>
        <v>91860288</v>
      </c>
      <c r="AK263" s="1332">
        <f t="shared" si="243"/>
        <v>0.36744115199999999</v>
      </c>
      <c r="AL263" s="1330"/>
      <c r="AM263" s="1248"/>
      <c r="AN263" s="1249" t="s">
        <v>302</v>
      </c>
      <c r="AO263" s="1874"/>
      <c r="AP263" s="1250"/>
      <c r="AQ263" s="1251"/>
      <c r="AR263" s="292"/>
    </row>
    <row r="264" spans="1:44" ht="127.5" x14ac:dyDescent="0.2">
      <c r="A264" s="268" t="s">
        <v>687</v>
      </c>
      <c r="B264" s="359" t="s">
        <v>857</v>
      </c>
      <c r="C264" s="386">
        <v>0</v>
      </c>
      <c r="D264" s="319">
        <v>1</v>
      </c>
      <c r="E264" s="233">
        <v>0</v>
      </c>
      <c r="F264" s="1232">
        <v>0</v>
      </c>
      <c r="G264" s="1232"/>
      <c r="H264" s="167" t="e">
        <f t="shared" si="320"/>
        <v>#DIV/0!</v>
      </c>
      <c r="I264" s="520">
        <f t="shared" si="321"/>
        <v>0</v>
      </c>
      <c r="J264" s="1418" t="s">
        <v>1509</v>
      </c>
      <c r="K264" s="1418"/>
      <c r="L264" s="1454"/>
      <c r="M264" s="1455"/>
      <c r="N264" s="1238"/>
      <c r="O264" s="1418"/>
      <c r="P264" s="1418"/>
      <c r="Q264" s="1418"/>
      <c r="R264" s="1239"/>
      <c r="S264" s="1418"/>
      <c r="T264" s="1419">
        <v>1</v>
      </c>
      <c r="U264" s="1241">
        <f t="shared" si="322"/>
        <v>0</v>
      </c>
      <c r="V264" s="170">
        <f t="shared" si="323"/>
        <v>0</v>
      </c>
      <c r="W264" s="1327">
        <v>0.25</v>
      </c>
      <c r="X264" s="1369">
        <v>0.25</v>
      </c>
      <c r="Y264" s="510">
        <v>45000000</v>
      </c>
      <c r="Z264" s="289">
        <v>56750000</v>
      </c>
      <c r="AA264" s="1388">
        <v>40701938</v>
      </c>
      <c r="AB264" s="208">
        <f t="shared" si="240"/>
        <v>0.90448751111111114</v>
      </c>
      <c r="AC264" s="206">
        <v>28062905</v>
      </c>
      <c r="AD264" s="1389">
        <f t="shared" si="241"/>
        <v>0.62362011111111115</v>
      </c>
      <c r="AE264" s="1247">
        <f>+AA264-AC264</f>
        <v>12639033</v>
      </c>
      <c r="AF264" s="1388">
        <v>51850000</v>
      </c>
      <c r="AG264" s="1388">
        <v>50000000</v>
      </c>
      <c r="AH264" s="506">
        <f t="shared" si="242"/>
        <v>0.96432015429122464</v>
      </c>
      <c r="AI264" s="1255">
        <f t="shared" si="325"/>
        <v>250000000</v>
      </c>
      <c r="AJ264" s="1255">
        <f t="shared" si="324"/>
        <v>97451938</v>
      </c>
      <c r="AK264" s="1332">
        <f t="shared" si="243"/>
        <v>0.38980775200000001</v>
      </c>
      <c r="AL264" s="1330"/>
      <c r="AM264" s="1248"/>
      <c r="AN264" s="1249" t="s">
        <v>302</v>
      </c>
      <c r="AO264" s="1874"/>
      <c r="AP264" s="1250"/>
      <c r="AQ264" s="1251"/>
      <c r="AR264" s="293"/>
    </row>
    <row r="265" spans="1:44" ht="114.75" x14ac:dyDescent="0.25">
      <c r="A265" s="271" t="s">
        <v>688</v>
      </c>
      <c r="B265" s="239" t="s">
        <v>858</v>
      </c>
      <c r="C265" s="386">
        <v>0</v>
      </c>
      <c r="D265" s="319">
        <v>1</v>
      </c>
      <c r="E265" s="233">
        <v>0</v>
      </c>
      <c r="F265" s="1232">
        <v>0</v>
      </c>
      <c r="G265" s="1232"/>
      <c r="H265" s="167" t="e">
        <f t="shared" si="320"/>
        <v>#DIV/0!</v>
      </c>
      <c r="I265" s="520">
        <f t="shared" si="321"/>
        <v>0</v>
      </c>
      <c r="J265" s="1418" t="s">
        <v>1510</v>
      </c>
      <c r="K265" s="1418"/>
      <c r="L265" s="1454"/>
      <c r="M265" s="1455"/>
      <c r="N265" s="1238"/>
      <c r="O265" s="1418"/>
      <c r="P265" s="1418"/>
      <c r="Q265" s="1418"/>
      <c r="R265" s="1239"/>
      <c r="S265" s="1418"/>
      <c r="T265" s="1419">
        <v>1</v>
      </c>
      <c r="U265" s="1241">
        <f t="shared" si="322"/>
        <v>0</v>
      </c>
      <c r="V265" s="170">
        <f t="shared" si="323"/>
        <v>0</v>
      </c>
      <c r="W265" s="1327">
        <v>0.25</v>
      </c>
      <c r="X265" s="1369">
        <v>0.25</v>
      </c>
      <c r="Y265" s="547">
        <v>45000000</v>
      </c>
      <c r="Z265" s="289">
        <v>56750000</v>
      </c>
      <c r="AA265" s="1388">
        <v>41701938</v>
      </c>
      <c r="AB265" s="208">
        <f t="shared" ref="AB265:AB293" si="326">+AA265/Y265</f>
        <v>0.92670973333333329</v>
      </c>
      <c r="AC265" s="206">
        <v>29062905</v>
      </c>
      <c r="AD265" s="1389">
        <f t="shared" ref="AD265:AD294" si="327">+AC265/Y265</f>
        <v>0.6458423333333333</v>
      </c>
      <c r="AE265" s="1247">
        <f>+AA265-AC265</f>
        <v>12639033</v>
      </c>
      <c r="AF265" s="1388">
        <v>52450000</v>
      </c>
      <c r="AG265" s="1388">
        <v>52436666</v>
      </c>
      <c r="AH265" s="506">
        <f t="shared" ref="AH265:AH294" si="328">+AG265/AF265</f>
        <v>0.99974577693040989</v>
      </c>
      <c r="AI265" s="1255">
        <f t="shared" si="325"/>
        <v>250000000</v>
      </c>
      <c r="AJ265" s="1255">
        <f t="shared" si="324"/>
        <v>98451938</v>
      </c>
      <c r="AK265" s="1332">
        <f t="shared" ref="AK265:AK294" si="329">+AJ265/AI265</f>
        <v>0.39380775200000001</v>
      </c>
      <c r="AL265" s="1330"/>
      <c r="AM265" s="1248"/>
      <c r="AN265" s="1249" t="s">
        <v>302</v>
      </c>
      <c r="AO265" s="1870"/>
      <c r="AP265" s="1250"/>
      <c r="AQ265" s="1251"/>
    </row>
    <row r="266" spans="1:44" x14ac:dyDescent="0.25">
      <c r="A266" s="241" t="s">
        <v>505</v>
      </c>
      <c r="B266" s="140"/>
      <c r="C266" s="141"/>
      <c r="D266" s="187"/>
      <c r="E266" s="181"/>
      <c r="F266" s="141"/>
      <c r="G266" s="141"/>
      <c r="H266" s="142">
        <v>0</v>
      </c>
      <c r="I266" s="157">
        <f>+(I267*X267)</f>
        <v>0</v>
      </c>
      <c r="J266" s="172"/>
      <c r="K266" s="172"/>
      <c r="L266" s="143"/>
      <c r="M266" s="144"/>
      <c r="N266" s="144"/>
      <c r="O266" s="172"/>
      <c r="P266" s="172"/>
      <c r="Q266" s="172"/>
      <c r="R266" s="158"/>
      <c r="S266" s="172"/>
      <c r="T266" s="193"/>
      <c r="U266" s="202"/>
      <c r="V266" s="165">
        <f>+(V267*W267)</f>
        <v>0</v>
      </c>
      <c r="W266" s="142">
        <v>0.2</v>
      </c>
      <c r="X266" s="394">
        <v>0.2</v>
      </c>
      <c r="Y266" s="145">
        <f>SUM(Y267)</f>
        <v>90000000</v>
      </c>
      <c r="Z266" s="145">
        <f>SUM(Z267)</f>
        <v>10000000</v>
      </c>
      <c r="AA266" s="145">
        <f>SUM(AA267)</f>
        <v>17337743</v>
      </c>
      <c r="AB266" s="207">
        <f t="shared" si="326"/>
        <v>0.19264158888888888</v>
      </c>
      <c r="AC266" s="145">
        <f>SUM(AC267)</f>
        <v>11840998</v>
      </c>
      <c r="AD266" s="588">
        <f t="shared" si="327"/>
        <v>0.13156664444444444</v>
      </c>
      <c r="AE266" s="145">
        <f>SUM(AE267)</f>
        <v>5496745</v>
      </c>
      <c r="AF266" s="145">
        <f>SUM(AF267)</f>
        <v>0</v>
      </c>
      <c r="AG266" s="145">
        <f>SUM(AG267)</f>
        <v>0</v>
      </c>
      <c r="AH266" s="505" t="e">
        <f t="shared" si="328"/>
        <v>#DIV/0!</v>
      </c>
      <c r="AI266" s="145">
        <f t="shared" ref="AI266" si="330">SUM(AI267)</f>
        <v>300000000</v>
      </c>
      <c r="AJ266" s="145">
        <f>SUM(AJ267)</f>
        <v>27337743</v>
      </c>
      <c r="AK266" s="1321">
        <f t="shared" si="329"/>
        <v>9.1125810000000002E-2</v>
      </c>
      <c r="AL266" s="166"/>
      <c r="AM266" s="159"/>
      <c r="AN266" s="482"/>
      <c r="AO266" s="145"/>
      <c r="AP266" s="483"/>
      <c r="AQ266" s="101"/>
    </row>
    <row r="267" spans="1:44" ht="51" x14ac:dyDescent="0.25">
      <c r="A267" s="272" t="s">
        <v>689</v>
      </c>
      <c r="B267" s="362" t="s">
        <v>859</v>
      </c>
      <c r="C267" s="389">
        <v>0</v>
      </c>
      <c r="D267" s="186">
        <v>1</v>
      </c>
      <c r="E267" s="1234">
        <v>0</v>
      </c>
      <c r="F267" s="1232">
        <v>0</v>
      </c>
      <c r="G267" s="1232"/>
      <c r="H267" s="167" t="e">
        <f t="shared" ref="H267" si="331">IF((E267+G267)/C267&gt;=100%,100%,(E267+G267)/C267)</f>
        <v>#DIV/0!</v>
      </c>
      <c r="I267" s="520">
        <f t="shared" ref="I267" si="332">IF(F267/D267&gt;=100%,100%,F267/D267)</f>
        <v>0</v>
      </c>
      <c r="J267" s="1418" t="s">
        <v>1511</v>
      </c>
      <c r="K267" s="1418"/>
      <c r="L267" s="1454"/>
      <c r="M267" s="1455"/>
      <c r="N267" s="1238"/>
      <c r="O267" s="1418"/>
      <c r="P267" s="1418"/>
      <c r="Q267" s="1418"/>
      <c r="R267" s="1239"/>
      <c r="S267" s="1418"/>
      <c r="T267" s="1419">
        <v>1</v>
      </c>
      <c r="U267" s="1241">
        <f t="shared" ref="U267" si="333">SUM(E267:F267)</f>
        <v>0</v>
      </c>
      <c r="V267" s="170">
        <f t="shared" ref="V267" si="334">IF(U267/T267&gt;=100%,100%,U267/T267)</f>
        <v>0</v>
      </c>
      <c r="W267" s="1327">
        <v>1</v>
      </c>
      <c r="X267" s="398">
        <v>1</v>
      </c>
      <c r="Y267" s="548">
        <v>90000000</v>
      </c>
      <c r="Z267" s="431">
        <v>10000000</v>
      </c>
      <c r="AA267" s="1388">
        <v>17337743</v>
      </c>
      <c r="AB267" s="208">
        <f t="shared" si="326"/>
        <v>0.19264158888888888</v>
      </c>
      <c r="AC267" s="206">
        <v>11840998</v>
      </c>
      <c r="AD267" s="1331">
        <f t="shared" si="327"/>
        <v>0.13156664444444444</v>
      </c>
      <c r="AE267" s="1247">
        <f>+AA267-AC267</f>
        <v>5496745</v>
      </c>
      <c r="AF267" s="1388"/>
      <c r="AG267" s="1388"/>
      <c r="AH267" s="506" t="e">
        <f t="shared" si="328"/>
        <v>#DIV/0!</v>
      </c>
      <c r="AI267" s="1255">
        <v>300000000</v>
      </c>
      <c r="AJ267" s="1255">
        <f t="shared" si="324"/>
        <v>27337743</v>
      </c>
      <c r="AK267" s="1332">
        <f t="shared" si="329"/>
        <v>9.1125810000000002E-2</v>
      </c>
      <c r="AL267" s="1330"/>
      <c r="AM267" s="1248"/>
      <c r="AN267" s="1249" t="s">
        <v>302</v>
      </c>
      <c r="AO267" s="496" t="s">
        <v>895</v>
      </c>
      <c r="AP267" s="1250"/>
      <c r="AQ267" s="1251"/>
    </row>
    <row r="268" spans="1:44" x14ac:dyDescent="0.25">
      <c r="A268" s="241" t="s">
        <v>506</v>
      </c>
      <c r="B268" s="140"/>
      <c r="C268" s="141"/>
      <c r="D268" s="187"/>
      <c r="E268" s="181"/>
      <c r="F268" s="141"/>
      <c r="G268" s="141"/>
      <c r="H268" s="142">
        <v>0</v>
      </c>
      <c r="I268" s="157">
        <v>0</v>
      </c>
      <c r="J268" s="172"/>
      <c r="K268" s="172"/>
      <c r="L268" s="143"/>
      <c r="M268" s="144"/>
      <c r="N268" s="144"/>
      <c r="O268" s="172"/>
      <c r="P268" s="172"/>
      <c r="Q268" s="172"/>
      <c r="R268" s="158"/>
      <c r="S268" s="172"/>
      <c r="T268" s="193"/>
      <c r="U268" s="202"/>
      <c r="V268" s="165">
        <f>+(V269*W269)</f>
        <v>0</v>
      </c>
      <c r="W268" s="142">
        <v>0.2</v>
      </c>
      <c r="X268" s="394">
        <v>0</v>
      </c>
      <c r="Y268" s="145">
        <f>SUM(Y269)</f>
        <v>85000000</v>
      </c>
      <c r="Z268" s="145">
        <f>SUM(Z269)</f>
        <v>0</v>
      </c>
      <c r="AA268" s="145">
        <f>SUM(AA269)</f>
        <v>72857060</v>
      </c>
      <c r="AB268" s="207">
        <f t="shared" si="326"/>
        <v>0.8571418823529412</v>
      </c>
      <c r="AC268" s="145">
        <f>SUM(AC269)</f>
        <v>17726434</v>
      </c>
      <c r="AD268" s="588">
        <f t="shared" si="327"/>
        <v>0.20854628235294118</v>
      </c>
      <c r="AE268" s="145">
        <f>SUM(AE269)</f>
        <v>55130626</v>
      </c>
      <c r="AF268" s="145">
        <f>SUM(AF269)</f>
        <v>0</v>
      </c>
      <c r="AG268" s="145">
        <f>SUM(AG269)</f>
        <v>0</v>
      </c>
      <c r="AH268" s="505" t="e">
        <f t="shared" si="328"/>
        <v>#DIV/0!</v>
      </c>
      <c r="AI268" s="145">
        <f>SUM(AI269)</f>
        <v>450000000</v>
      </c>
      <c r="AJ268" s="145">
        <f>SUM(AJ269)</f>
        <v>72857060</v>
      </c>
      <c r="AK268" s="1321">
        <f t="shared" si="329"/>
        <v>0.16190457777777778</v>
      </c>
      <c r="AL268" s="166"/>
      <c r="AM268" s="159"/>
      <c r="AN268" s="482"/>
      <c r="AO268" s="145"/>
      <c r="AP268" s="483"/>
      <c r="AQ268" s="101"/>
    </row>
    <row r="269" spans="1:44" ht="38.25" x14ac:dyDescent="0.25">
      <c r="A269" s="268" t="s">
        <v>690</v>
      </c>
      <c r="B269" s="359" t="s">
        <v>860</v>
      </c>
      <c r="C269" s="389">
        <v>0</v>
      </c>
      <c r="D269" s="186">
        <v>0</v>
      </c>
      <c r="E269" s="1234">
        <v>0</v>
      </c>
      <c r="F269" s="1232"/>
      <c r="G269" s="1232"/>
      <c r="H269" s="167" t="e">
        <f t="shared" ref="H269" si="335">IF((E269+G269)/C269&gt;=100%,100%,(E269+G269)/C269)</f>
        <v>#DIV/0!</v>
      </c>
      <c r="I269" s="148" t="e">
        <f t="shared" ref="I269" si="336">IF(F269/D269&gt;=100%,100%,F269/D269)</f>
        <v>#DIV/0!</v>
      </c>
      <c r="J269" s="1418"/>
      <c r="K269" s="1418"/>
      <c r="L269" s="1454"/>
      <c r="M269" s="1455"/>
      <c r="N269" s="1238"/>
      <c r="O269" s="1418"/>
      <c r="P269" s="1418"/>
      <c r="Q269" s="1418"/>
      <c r="R269" s="1239"/>
      <c r="S269" s="1418"/>
      <c r="T269" s="1419">
        <v>1</v>
      </c>
      <c r="U269" s="1241">
        <f t="shared" ref="U269" si="337">SUM(E269:F269)</f>
        <v>0</v>
      </c>
      <c r="V269" s="170">
        <f t="shared" ref="V269" si="338">IF(U269/T269&gt;=100%,100%,U269/T269)</f>
        <v>0</v>
      </c>
      <c r="W269" s="1327">
        <v>1</v>
      </c>
      <c r="X269" s="398">
        <v>0</v>
      </c>
      <c r="Y269" s="546">
        <v>85000000</v>
      </c>
      <c r="Z269" s="431">
        <v>0</v>
      </c>
      <c r="AA269" s="1388">
        <v>72857060</v>
      </c>
      <c r="AB269" s="208">
        <f t="shared" si="326"/>
        <v>0.8571418823529412</v>
      </c>
      <c r="AC269" s="206">
        <v>17726434</v>
      </c>
      <c r="AD269" s="1331">
        <f t="shared" si="327"/>
        <v>0.20854628235294118</v>
      </c>
      <c r="AE269" s="1247">
        <f>+AA269-AC269</f>
        <v>55130626</v>
      </c>
      <c r="AF269" s="1388"/>
      <c r="AG269" s="1388"/>
      <c r="AH269" s="506" t="e">
        <f t="shared" si="328"/>
        <v>#DIV/0!</v>
      </c>
      <c r="AI269" s="1255">
        <v>450000000</v>
      </c>
      <c r="AJ269" s="1255">
        <f t="shared" si="324"/>
        <v>72857060</v>
      </c>
      <c r="AK269" s="1332">
        <f t="shared" si="329"/>
        <v>0.16190457777777778</v>
      </c>
      <c r="AL269" s="1330"/>
      <c r="AM269" s="1248"/>
      <c r="AN269" s="1249" t="s">
        <v>302</v>
      </c>
      <c r="AO269" s="495" t="s">
        <v>895</v>
      </c>
      <c r="AP269" s="1250"/>
      <c r="AQ269" s="1251"/>
    </row>
    <row r="270" spans="1:44" ht="51" x14ac:dyDescent="0.25">
      <c r="A270" s="1201" t="s">
        <v>450</v>
      </c>
      <c r="B270" s="1202"/>
      <c r="C270" s="1203"/>
      <c r="D270" s="1204"/>
      <c r="E270" s="1205"/>
      <c r="F270" s="1203"/>
      <c r="G270" s="1203"/>
      <c r="H270" s="1206">
        <f>+(H271*W271)</f>
        <v>1</v>
      </c>
      <c r="I270" s="1260">
        <f>+(I271*X271)</f>
        <v>0.98</v>
      </c>
      <c r="J270" s="1413"/>
      <c r="K270" s="1413"/>
      <c r="L270" s="1207"/>
      <c r="M270" s="1208"/>
      <c r="N270" s="1208"/>
      <c r="O270" s="1413"/>
      <c r="P270" s="1413"/>
      <c r="Q270" s="1413"/>
      <c r="R270" s="1310"/>
      <c r="S270" s="1413"/>
      <c r="T270" s="1414"/>
      <c r="U270" s="1211"/>
      <c r="V270" s="1212">
        <f>+(V271*W271)</f>
        <v>0.77500000000000013</v>
      </c>
      <c r="W270" s="1213">
        <v>0.1</v>
      </c>
      <c r="X270" s="1214">
        <v>0.1</v>
      </c>
      <c r="Y270" s="1215">
        <f>+Y271</f>
        <v>640000000</v>
      </c>
      <c r="Z270" s="1215">
        <f>+Z271</f>
        <v>205472200</v>
      </c>
      <c r="AA270" s="1215">
        <f>+AA271</f>
        <v>539083009</v>
      </c>
      <c r="AB270" s="1216">
        <f t="shared" si="326"/>
        <v>0.84231720156250001</v>
      </c>
      <c r="AC270" s="1215">
        <f>+AC271</f>
        <v>323233127</v>
      </c>
      <c r="AD270" s="1313">
        <f t="shared" si="327"/>
        <v>0.50505176093750004</v>
      </c>
      <c r="AE270" s="1215">
        <f>+AE271</f>
        <v>215849882</v>
      </c>
      <c r="AF270" s="1215">
        <f>+AF271</f>
        <v>98072200</v>
      </c>
      <c r="AG270" s="1215">
        <f>+AG271</f>
        <v>83395870.770000011</v>
      </c>
      <c r="AH270" s="1219">
        <f t="shared" si="328"/>
        <v>0.85035178949794143</v>
      </c>
      <c r="AI270" s="1215">
        <f t="shared" ref="AI270:AJ270" si="339">+AI271</f>
        <v>3100000000</v>
      </c>
      <c r="AJ270" s="1215">
        <f t="shared" si="339"/>
        <v>744555209</v>
      </c>
      <c r="AK270" s="209">
        <f t="shared" si="329"/>
        <v>0.24017909967741935</v>
      </c>
      <c r="AL270" s="161"/>
      <c r="AM270" s="1221" t="s">
        <v>301</v>
      </c>
      <c r="AN270" s="1222"/>
      <c r="AO270" s="1215"/>
      <c r="AP270" s="1223"/>
      <c r="AQ270" s="1224"/>
    </row>
    <row r="271" spans="1:44" x14ac:dyDescent="0.25">
      <c r="A271" s="241" t="s">
        <v>507</v>
      </c>
      <c r="B271" s="140"/>
      <c r="C271" s="141"/>
      <c r="D271" s="187"/>
      <c r="E271" s="181"/>
      <c r="F271" s="141"/>
      <c r="G271" s="141"/>
      <c r="H271" s="142">
        <f>+(H272*28%)+(H273*28%)+(H275*11%)+(H276*11%)+(H277*22%)</f>
        <v>1</v>
      </c>
      <c r="I271" s="157">
        <f>+SUMPRODUCT(I272:I277,X272:X277)</f>
        <v>0.98</v>
      </c>
      <c r="J271" s="172"/>
      <c r="K271" s="172"/>
      <c r="L271" s="143"/>
      <c r="M271" s="144"/>
      <c r="N271" s="144"/>
      <c r="O271" s="172"/>
      <c r="P271" s="172"/>
      <c r="Q271" s="172"/>
      <c r="R271" s="158"/>
      <c r="S271" s="172"/>
      <c r="T271" s="193"/>
      <c r="U271" s="202"/>
      <c r="V271" s="165">
        <f>+SUMPRODUCT(V272:V277,W272:W277)</f>
        <v>0.77500000000000013</v>
      </c>
      <c r="W271" s="142">
        <v>1</v>
      </c>
      <c r="X271" s="394">
        <v>1</v>
      </c>
      <c r="Y271" s="145">
        <f>SUM(Y272:Y277)</f>
        <v>640000000</v>
      </c>
      <c r="Z271" s="145">
        <f>SUM(Z272:Z277)</f>
        <v>205472200</v>
      </c>
      <c r="AA271" s="145">
        <f>SUM(AA272:AA277)</f>
        <v>539083009</v>
      </c>
      <c r="AB271" s="207">
        <f t="shared" si="326"/>
        <v>0.84231720156250001</v>
      </c>
      <c r="AC271" s="145">
        <f>SUM(AC272:AC277)</f>
        <v>323233127</v>
      </c>
      <c r="AD271" s="1386">
        <f t="shared" si="327"/>
        <v>0.50505176093750004</v>
      </c>
      <c r="AE271" s="145">
        <f>SUM(AE272:AE277)</f>
        <v>215849882</v>
      </c>
      <c r="AF271" s="145">
        <f>SUM(AF272:AF277)</f>
        <v>98072200</v>
      </c>
      <c r="AG271" s="145">
        <f>SUM(AG272:AG277)</f>
        <v>83395870.770000011</v>
      </c>
      <c r="AH271" s="505">
        <f t="shared" si="328"/>
        <v>0.85035178949794143</v>
      </c>
      <c r="AI271" s="145">
        <f t="shared" ref="AI271:AJ271" si="340">SUM(AI272:AI277)</f>
        <v>3100000000</v>
      </c>
      <c r="AJ271" s="145">
        <f t="shared" si="340"/>
        <v>744555209</v>
      </c>
      <c r="AK271" s="1321">
        <f t="shared" si="329"/>
        <v>0.24017909967741935</v>
      </c>
      <c r="AL271" s="166"/>
      <c r="AM271" s="159"/>
      <c r="AN271" s="482"/>
      <c r="AO271" s="145"/>
      <c r="AP271" s="483"/>
      <c r="AQ271" s="101"/>
    </row>
    <row r="272" spans="1:44" ht="216.75" x14ac:dyDescent="0.25">
      <c r="A272" s="269" t="s">
        <v>691</v>
      </c>
      <c r="B272" s="360" t="s">
        <v>861</v>
      </c>
      <c r="C272" s="390">
        <v>0.5</v>
      </c>
      <c r="D272" s="322">
        <v>0.7</v>
      </c>
      <c r="E272" s="238">
        <v>0.2</v>
      </c>
      <c r="F272" s="169">
        <v>1</v>
      </c>
      <c r="G272" s="169">
        <v>0.3</v>
      </c>
      <c r="H272" s="167">
        <f t="shared" ref="H272:H276" si="341">IF((E272+G272)/C272&gt;=100%,100%,(E272+G272)/C272)</f>
        <v>1</v>
      </c>
      <c r="I272" s="520">
        <f t="shared" ref="I272:I277" si="342">IF(F272/D272&gt;=100%,100%,F272/D272)</f>
        <v>1</v>
      </c>
      <c r="J272" s="1418" t="s">
        <v>1042</v>
      </c>
      <c r="K272" s="1418"/>
      <c r="L272" s="1454"/>
      <c r="M272" s="1455"/>
      <c r="N272" s="1238"/>
      <c r="O272" s="1418"/>
      <c r="P272" s="1418"/>
      <c r="Q272" s="1418"/>
      <c r="R272" s="1239"/>
      <c r="S272" s="1418"/>
      <c r="T272" s="238">
        <v>0.7</v>
      </c>
      <c r="U272" s="1241">
        <f t="shared" ref="U272:U277" si="343">SUM(E272:F272)</f>
        <v>1.2</v>
      </c>
      <c r="V272" s="170">
        <f t="shared" ref="V272:V277" si="344">IF(U272/T272&gt;=100%,100%,U272/T272)</f>
        <v>1</v>
      </c>
      <c r="W272" s="424">
        <v>0.25</v>
      </c>
      <c r="X272" s="444">
        <v>0.25</v>
      </c>
      <c r="Y272" s="549">
        <v>190000000</v>
      </c>
      <c r="Z272" s="288">
        <v>69472200</v>
      </c>
      <c r="AA272" s="1388">
        <v>97783935</v>
      </c>
      <c r="AB272" s="208">
        <f t="shared" si="326"/>
        <v>0.51465228947368424</v>
      </c>
      <c r="AC272" s="206">
        <v>10517463</v>
      </c>
      <c r="AD272" s="1331">
        <f t="shared" si="327"/>
        <v>5.5355068421052631E-2</v>
      </c>
      <c r="AE272" s="1247">
        <f t="shared" ref="AE272:AE277" si="345">+AA272-AC272</f>
        <v>87266472</v>
      </c>
      <c r="AF272" s="1388">
        <v>69472200</v>
      </c>
      <c r="AG272" s="1388">
        <v>63195870.770000003</v>
      </c>
      <c r="AH272" s="506">
        <f t="shared" si="328"/>
        <v>0.90965696739127311</v>
      </c>
      <c r="AI272" s="1255">
        <f>1500000000/2</f>
        <v>750000000</v>
      </c>
      <c r="AJ272" s="1255">
        <f t="shared" ref="AJ272:AJ277" si="346">+SUM(Z272:AA272)</f>
        <v>167256135</v>
      </c>
      <c r="AK272" s="1332">
        <f t="shared" si="329"/>
        <v>0.22300818</v>
      </c>
      <c r="AL272" s="1330"/>
      <c r="AM272" s="1248"/>
      <c r="AN272" s="1249" t="s">
        <v>302</v>
      </c>
      <c r="AO272" s="499" t="s">
        <v>929</v>
      </c>
      <c r="AP272" s="1250"/>
      <c r="AQ272" s="1251"/>
    </row>
    <row r="273" spans="1:43" ht="165.75" x14ac:dyDescent="0.25">
      <c r="A273" s="269" t="s">
        <v>692</v>
      </c>
      <c r="B273" s="360" t="s">
        <v>862</v>
      </c>
      <c r="C273" s="390">
        <v>0.1</v>
      </c>
      <c r="D273" s="322">
        <v>0.2</v>
      </c>
      <c r="E273" s="238">
        <v>0</v>
      </c>
      <c r="F273" s="169">
        <v>0.34</v>
      </c>
      <c r="G273" s="169">
        <v>0.1</v>
      </c>
      <c r="H273" s="167">
        <f t="shared" si="341"/>
        <v>1</v>
      </c>
      <c r="I273" s="520">
        <f t="shared" si="342"/>
        <v>1</v>
      </c>
      <c r="J273" s="1418" t="s">
        <v>1043</v>
      </c>
      <c r="K273" s="1418"/>
      <c r="L273" s="1454"/>
      <c r="M273" s="1455"/>
      <c r="N273" s="1238"/>
      <c r="O273" s="1418"/>
      <c r="P273" s="1418"/>
      <c r="Q273" s="1418"/>
      <c r="R273" s="1239"/>
      <c r="S273" s="1418"/>
      <c r="T273" s="238">
        <v>0.7</v>
      </c>
      <c r="U273" s="1241">
        <f t="shared" si="343"/>
        <v>0.34</v>
      </c>
      <c r="V273" s="170">
        <f t="shared" si="344"/>
        <v>0.48571428571428577</v>
      </c>
      <c r="W273" s="424">
        <v>0.25</v>
      </c>
      <c r="X273" s="444">
        <v>0.25</v>
      </c>
      <c r="Y273" s="550">
        <v>190000000</v>
      </c>
      <c r="Z273" s="288">
        <v>24000000</v>
      </c>
      <c r="AA273" s="1388">
        <v>186183935</v>
      </c>
      <c r="AB273" s="208">
        <f t="shared" si="326"/>
        <v>0.97991544736842107</v>
      </c>
      <c r="AC273" s="206">
        <v>74917463</v>
      </c>
      <c r="AD273" s="1331">
        <f t="shared" si="327"/>
        <v>0.39430243684210525</v>
      </c>
      <c r="AE273" s="1247">
        <f t="shared" si="345"/>
        <v>111266472</v>
      </c>
      <c r="AF273" s="1388">
        <v>6000000</v>
      </c>
      <c r="AG273" s="1388">
        <v>0</v>
      </c>
      <c r="AH273" s="506">
        <f t="shared" si="328"/>
        <v>0</v>
      </c>
      <c r="AI273" s="1255">
        <f>1500000000/2</f>
        <v>750000000</v>
      </c>
      <c r="AJ273" s="1255">
        <f t="shared" si="346"/>
        <v>210183935</v>
      </c>
      <c r="AK273" s="1332">
        <f t="shared" si="329"/>
        <v>0.28024524666666667</v>
      </c>
      <c r="AL273" s="1330"/>
      <c r="AM273" s="1248"/>
      <c r="AN273" s="1249" t="s">
        <v>302</v>
      </c>
      <c r="AO273" s="496" t="s">
        <v>929</v>
      </c>
      <c r="AP273" s="1250"/>
      <c r="AQ273" s="1251"/>
    </row>
    <row r="274" spans="1:43" ht="114.75" x14ac:dyDescent="0.25">
      <c r="A274" s="269" t="s">
        <v>693</v>
      </c>
      <c r="B274" s="360" t="s">
        <v>863</v>
      </c>
      <c r="C274" s="388">
        <v>0</v>
      </c>
      <c r="D274" s="321">
        <v>1</v>
      </c>
      <c r="E274" s="236">
        <v>0</v>
      </c>
      <c r="F274" s="1232">
        <v>1</v>
      </c>
      <c r="G274" s="1232"/>
      <c r="H274" s="167" t="e">
        <f t="shared" si="341"/>
        <v>#DIV/0!</v>
      </c>
      <c r="I274" s="520">
        <f t="shared" si="342"/>
        <v>1</v>
      </c>
      <c r="J274" s="1418" t="s">
        <v>1044</v>
      </c>
      <c r="K274" s="1418"/>
      <c r="L274" s="1454"/>
      <c r="M274" s="1455"/>
      <c r="N274" s="1238"/>
      <c r="O274" s="1418"/>
      <c r="P274" s="1418"/>
      <c r="Q274" s="1418"/>
      <c r="R274" s="1239"/>
      <c r="S274" s="1418"/>
      <c r="T274" s="236">
        <v>1</v>
      </c>
      <c r="U274" s="1241">
        <f t="shared" si="343"/>
        <v>1</v>
      </c>
      <c r="V274" s="170">
        <f t="shared" si="344"/>
        <v>1</v>
      </c>
      <c r="W274" s="424">
        <v>0.1</v>
      </c>
      <c r="X274" s="444">
        <v>0.1</v>
      </c>
      <c r="Y274" s="549">
        <v>20000000</v>
      </c>
      <c r="Z274" s="288">
        <v>0</v>
      </c>
      <c r="AA274" s="1388">
        <v>17289393</v>
      </c>
      <c r="AB274" s="208">
        <f t="shared" si="326"/>
        <v>0.86446964999999998</v>
      </c>
      <c r="AC274" s="206">
        <v>13862275</v>
      </c>
      <c r="AD274" s="1389">
        <f t="shared" si="327"/>
        <v>0.69311374999999997</v>
      </c>
      <c r="AE274" s="1247">
        <f t="shared" si="345"/>
        <v>3427118</v>
      </c>
      <c r="AF274" s="1388"/>
      <c r="AG274" s="1388"/>
      <c r="AH274" s="506" t="e">
        <f t="shared" si="328"/>
        <v>#DIV/0!</v>
      </c>
      <c r="AI274" s="1255">
        <f>600000000/3</f>
        <v>200000000</v>
      </c>
      <c r="AJ274" s="1255">
        <f t="shared" si="346"/>
        <v>17289393</v>
      </c>
      <c r="AK274" s="1332">
        <f t="shared" si="329"/>
        <v>8.6446965000000001E-2</v>
      </c>
      <c r="AL274" s="1330"/>
      <c r="AM274" s="1248"/>
      <c r="AN274" s="1249" t="s">
        <v>302</v>
      </c>
      <c r="AO274" s="1887" t="s">
        <v>929</v>
      </c>
      <c r="AP274" s="1250"/>
      <c r="AQ274" s="1251"/>
    </row>
    <row r="275" spans="1:43" ht="114.75" x14ac:dyDescent="0.25">
      <c r="A275" s="269" t="s">
        <v>694</v>
      </c>
      <c r="B275" s="360" t="s">
        <v>864</v>
      </c>
      <c r="C275" s="388">
        <v>3</v>
      </c>
      <c r="D275" s="321">
        <v>2</v>
      </c>
      <c r="E275" s="236">
        <v>3</v>
      </c>
      <c r="F275" s="1232">
        <v>3</v>
      </c>
      <c r="G275" s="1232"/>
      <c r="H275" s="167">
        <f t="shared" si="341"/>
        <v>1</v>
      </c>
      <c r="I275" s="520">
        <f t="shared" si="342"/>
        <v>1</v>
      </c>
      <c r="J275" s="1418" t="s">
        <v>1045</v>
      </c>
      <c r="K275" s="1418"/>
      <c r="L275" s="1454"/>
      <c r="M275" s="1455"/>
      <c r="N275" s="1238"/>
      <c r="O275" s="1418"/>
      <c r="P275" s="1418"/>
      <c r="Q275" s="1418"/>
      <c r="R275" s="1239"/>
      <c r="S275" s="1418"/>
      <c r="T275" s="236">
        <v>8</v>
      </c>
      <c r="U275" s="1241">
        <f t="shared" si="343"/>
        <v>6</v>
      </c>
      <c r="V275" s="170">
        <f t="shared" si="344"/>
        <v>0.75</v>
      </c>
      <c r="W275" s="424">
        <v>0.1</v>
      </c>
      <c r="X275" s="444">
        <v>0.1</v>
      </c>
      <c r="Y275" s="549">
        <v>20000000</v>
      </c>
      <c r="Z275" s="288">
        <v>10800000</v>
      </c>
      <c r="AA275" s="1388">
        <v>19689393</v>
      </c>
      <c r="AB275" s="208">
        <f t="shared" si="326"/>
        <v>0.98446964999999997</v>
      </c>
      <c r="AC275" s="206">
        <v>18662275</v>
      </c>
      <c r="AD275" s="1389">
        <f t="shared" si="327"/>
        <v>0.93311374999999996</v>
      </c>
      <c r="AE275" s="1247">
        <f t="shared" si="345"/>
        <v>1027118</v>
      </c>
      <c r="AF275" s="1388"/>
      <c r="AG275" s="1388"/>
      <c r="AH275" s="506" t="e">
        <f t="shared" si="328"/>
        <v>#DIV/0!</v>
      </c>
      <c r="AI275" s="1255">
        <f t="shared" ref="AI275:AI276" si="347">600000000/3</f>
        <v>200000000</v>
      </c>
      <c r="AJ275" s="1255">
        <f t="shared" si="346"/>
        <v>30489393</v>
      </c>
      <c r="AK275" s="1332">
        <f t="shared" si="329"/>
        <v>0.15244696499999999</v>
      </c>
      <c r="AL275" s="1330"/>
      <c r="AM275" s="1248"/>
      <c r="AN275" s="1249" t="s">
        <v>302</v>
      </c>
      <c r="AO275" s="1874"/>
      <c r="AP275" s="1250"/>
      <c r="AQ275" s="1251"/>
    </row>
    <row r="276" spans="1:43" ht="204" x14ac:dyDescent="0.25">
      <c r="A276" s="269" t="s">
        <v>695</v>
      </c>
      <c r="B276" s="360" t="s">
        <v>865</v>
      </c>
      <c r="C276" s="388">
        <v>3</v>
      </c>
      <c r="D276" s="321">
        <v>4</v>
      </c>
      <c r="E276" s="236">
        <v>2</v>
      </c>
      <c r="F276" s="1232">
        <v>4</v>
      </c>
      <c r="G276" s="1232">
        <v>1</v>
      </c>
      <c r="H276" s="167">
        <f t="shared" si="341"/>
        <v>1</v>
      </c>
      <c r="I276" s="520">
        <f t="shared" si="342"/>
        <v>1</v>
      </c>
      <c r="J276" s="1418" t="s">
        <v>1046</v>
      </c>
      <c r="K276" s="1418"/>
      <c r="L276" s="1454"/>
      <c r="M276" s="1455"/>
      <c r="N276" s="1238"/>
      <c r="O276" s="1418"/>
      <c r="P276" s="1418"/>
      <c r="Q276" s="1418"/>
      <c r="R276" s="1239"/>
      <c r="S276" s="1418"/>
      <c r="T276" s="236">
        <v>21</v>
      </c>
      <c r="U276" s="1241">
        <f t="shared" si="343"/>
        <v>6</v>
      </c>
      <c r="V276" s="170">
        <f t="shared" si="344"/>
        <v>0.2857142857142857</v>
      </c>
      <c r="W276" s="424">
        <v>0.1</v>
      </c>
      <c r="X276" s="444">
        <v>0.1</v>
      </c>
      <c r="Y276" s="549">
        <v>20000000</v>
      </c>
      <c r="Z276" s="288">
        <v>22800000</v>
      </c>
      <c r="AA276" s="1388">
        <v>19689393</v>
      </c>
      <c r="AB276" s="208">
        <f t="shared" si="326"/>
        <v>0.98446964999999997</v>
      </c>
      <c r="AC276" s="206">
        <v>18662275</v>
      </c>
      <c r="AD276" s="1389">
        <f t="shared" si="327"/>
        <v>0.93311374999999996</v>
      </c>
      <c r="AE276" s="1247">
        <f t="shared" si="345"/>
        <v>1027118</v>
      </c>
      <c r="AF276" s="1388">
        <v>4800000</v>
      </c>
      <c r="AG276" s="1388">
        <v>2400000</v>
      </c>
      <c r="AH276" s="506">
        <f t="shared" si="328"/>
        <v>0.5</v>
      </c>
      <c r="AI276" s="1255">
        <f t="shared" si="347"/>
        <v>200000000</v>
      </c>
      <c r="AJ276" s="1255">
        <f t="shared" si="346"/>
        <v>42489393</v>
      </c>
      <c r="AK276" s="1332">
        <f t="shared" si="329"/>
        <v>0.21244696499999999</v>
      </c>
      <c r="AL276" s="1330"/>
      <c r="AM276" s="1248"/>
      <c r="AN276" s="1249" t="s">
        <v>302</v>
      </c>
      <c r="AO276" s="1870"/>
      <c r="AP276" s="1250"/>
      <c r="AQ276" s="1251"/>
    </row>
    <row r="277" spans="1:43" ht="140.25" x14ac:dyDescent="0.25">
      <c r="A277" s="269" t="s">
        <v>696</v>
      </c>
      <c r="B277" s="360" t="s">
        <v>866</v>
      </c>
      <c r="C277" s="390">
        <v>1</v>
      </c>
      <c r="D277" s="322">
        <v>1</v>
      </c>
      <c r="E277" s="238">
        <v>0.59</v>
      </c>
      <c r="F277" s="169">
        <v>0.9</v>
      </c>
      <c r="G277" s="169">
        <v>0.41</v>
      </c>
      <c r="H277" s="167">
        <f>IF((E277+G277)/C277&gt;=100%,100%,(E277+G277)/C277)</f>
        <v>1</v>
      </c>
      <c r="I277" s="520">
        <f t="shared" si="342"/>
        <v>0.9</v>
      </c>
      <c r="J277" s="1418" t="s">
        <v>1047</v>
      </c>
      <c r="K277" s="1418"/>
      <c r="L277" s="1454"/>
      <c r="M277" s="1455"/>
      <c r="N277" s="1238"/>
      <c r="O277" s="1418"/>
      <c r="P277" s="1418"/>
      <c r="Q277" s="1418"/>
      <c r="R277" s="1239"/>
      <c r="S277" s="1418"/>
      <c r="T277" s="238">
        <v>1</v>
      </c>
      <c r="U277" s="1241">
        <f t="shared" si="343"/>
        <v>1.49</v>
      </c>
      <c r="V277" s="170">
        <f t="shared" si="344"/>
        <v>1</v>
      </c>
      <c r="W277" s="424">
        <v>0.2</v>
      </c>
      <c r="X277" s="444">
        <v>0.2</v>
      </c>
      <c r="Y277" s="1449">
        <v>200000000</v>
      </c>
      <c r="Z277" s="288">
        <v>78400000</v>
      </c>
      <c r="AA277" s="1388">
        <v>198446960</v>
      </c>
      <c r="AB277" s="208">
        <f t="shared" si="326"/>
        <v>0.99223479999999997</v>
      </c>
      <c r="AC277" s="206">
        <v>186611376</v>
      </c>
      <c r="AD277" s="1389">
        <f t="shared" si="327"/>
        <v>0.93305687999999998</v>
      </c>
      <c r="AE277" s="1247">
        <f t="shared" si="345"/>
        <v>11835584</v>
      </c>
      <c r="AF277" s="1388">
        <v>17800000</v>
      </c>
      <c r="AG277" s="1388">
        <v>17800000</v>
      </c>
      <c r="AH277" s="506">
        <f t="shared" si="328"/>
        <v>1</v>
      </c>
      <c r="AI277" s="1255">
        <v>1000000000</v>
      </c>
      <c r="AJ277" s="1255">
        <f t="shared" si="346"/>
        <v>276846960</v>
      </c>
      <c r="AK277" s="1332">
        <f t="shared" si="329"/>
        <v>0.27684695999999998</v>
      </c>
      <c r="AL277" s="1330"/>
      <c r="AM277" s="1248"/>
      <c r="AN277" s="1249" t="s">
        <v>302</v>
      </c>
      <c r="AO277" s="499" t="s">
        <v>929</v>
      </c>
      <c r="AP277" s="1250"/>
      <c r="AQ277" s="1251"/>
    </row>
    <row r="278" spans="1:43" ht="51" x14ac:dyDescent="0.25">
      <c r="A278" s="1201" t="s">
        <v>451</v>
      </c>
      <c r="B278" s="1202"/>
      <c r="C278" s="1203"/>
      <c r="D278" s="1204"/>
      <c r="E278" s="1205"/>
      <c r="F278" s="1203"/>
      <c r="G278" s="1203"/>
      <c r="H278" s="1206">
        <f>+(H279*W279)+(H282*W282)+(H284*W284)</f>
        <v>1</v>
      </c>
      <c r="I278" s="1260">
        <f>+(I279*X279)+(I282*X282)+(I284*X284)</f>
        <v>0.98260000000000003</v>
      </c>
      <c r="J278" s="1413"/>
      <c r="K278" s="1413"/>
      <c r="L278" s="1207"/>
      <c r="M278" s="1208"/>
      <c r="N278" s="1208"/>
      <c r="O278" s="1413"/>
      <c r="P278" s="1413"/>
      <c r="Q278" s="1413"/>
      <c r="R278" s="1310"/>
      <c r="S278" s="1413"/>
      <c r="T278" s="1414"/>
      <c r="U278" s="1211"/>
      <c r="V278" s="1212">
        <f>+(V279*W279)+(V282*W282)+(V284*W284)</f>
        <v>1</v>
      </c>
      <c r="W278" s="1213">
        <v>0.1</v>
      </c>
      <c r="X278" s="1214">
        <v>0.1</v>
      </c>
      <c r="Y278" s="1215">
        <f>+Y279+Y282+Y284</f>
        <v>645000000</v>
      </c>
      <c r="Z278" s="1215">
        <f>+Z279+Z282+Z284</f>
        <v>591605825</v>
      </c>
      <c r="AA278" s="1215">
        <f>+AA279+AA282+AA284</f>
        <v>635300006.66000009</v>
      </c>
      <c r="AB278" s="1216">
        <f t="shared" si="326"/>
        <v>0.98496125063565909</v>
      </c>
      <c r="AC278" s="1215">
        <f>+AC279+AC282+AC284</f>
        <v>609235528</v>
      </c>
      <c r="AD278" s="1313">
        <f t="shared" si="327"/>
        <v>0.94455120620155042</v>
      </c>
      <c r="AE278" s="1215">
        <f>+AE279+AE282+AE284</f>
        <v>26064478.660000026</v>
      </c>
      <c r="AF278" s="1215">
        <f>+AF279+AF282+AF284</f>
        <v>197959754</v>
      </c>
      <c r="AG278" s="1215">
        <f>+AG279+AG282+AG284</f>
        <v>160182330</v>
      </c>
      <c r="AH278" s="1219">
        <f t="shared" si="328"/>
        <v>0.80916613990134578</v>
      </c>
      <c r="AI278" s="1215">
        <f t="shared" ref="AI278:AJ278" si="348">+AI279+AI282+AI284</f>
        <v>3000000000</v>
      </c>
      <c r="AJ278" s="1215">
        <f t="shared" si="348"/>
        <v>1226905831.6600001</v>
      </c>
      <c r="AK278" s="209">
        <f t="shared" si="329"/>
        <v>0.40896861055333339</v>
      </c>
      <c r="AL278" s="161"/>
      <c r="AM278" s="1221" t="s">
        <v>301</v>
      </c>
      <c r="AN278" s="1222"/>
      <c r="AO278" s="1215"/>
      <c r="AP278" s="1223"/>
      <c r="AQ278" s="1224"/>
    </row>
    <row r="279" spans="1:43" x14ac:dyDescent="0.25">
      <c r="A279" s="241" t="s">
        <v>508</v>
      </c>
      <c r="B279" s="140"/>
      <c r="C279" s="141"/>
      <c r="D279" s="187"/>
      <c r="E279" s="181"/>
      <c r="F279" s="141"/>
      <c r="G279" s="141"/>
      <c r="H279" s="142">
        <f>+SUMPRODUCT(H280:H281,W280:W281)</f>
        <v>1</v>
      </c>
      <c r="I279" s="157">
        <f>+SUMPRODUCT(I280:I281,X280:X281)</f>
        <v>1</v>
      </c>
      <c r="J279" s="172"/>
      <c r="K279" s="172"/>
      <c r="L279" s="143"/>
      <c r="M279" s="144"/>
      <c r="N279" s="144"/>
      <c r="O279" s="172"/>
      <c r="P279" s="172"/>
      <c r="Q279" s="172"/>
      <c r="R279" s="158"/>
      <c r="S279" s="172"/>
      <c r="T279" s="193"/>
      <c r="U279" s="202"/>
      <c r="V279" s="165">
        <f>+SUMPRODUCT(V280:V281,W280:W281)</f>
        <v>1</v>
      </c>
      <c r="W279" s="142">
        <v>0.4</v>
      </c>
      <c r="X279" s="394">
        <v>0.4</v>
      </c>
      <c r="Y279" s="145">
        <f>SUM(Y280:Y281)</f>
        <v>280000000</v>
      </c>
      <c r="Z279" s="145">
        <f>SUM(Z280:Z281)</f>
        <v>296655825</v>
      </c>
      <c r="AA279" s="145">
        <f>SUM(AA280:AA281)</f>
        <v>276893920</v>
      </c>
      <c r="AB279" s="207">
        <f t="shared" si="326"/>
        <v>0.98890685714285709</v>
      </c>
      <c r="AC279" s="145">
        <f>SUM(AC280:AC281)</f>
        <v>266622752</v>
      </c>
      <c r="AD279" s="1386">
        <f t="shared" si="327"/>
        <v>0.9522241142857143</v>
      </c>
      <c r="AE279" s="145">
        <f>SUM(AE280:AE281)</f>
        <v>10271168</v>
      </c>
      <c r="AF279" s="145">
        <f>SUM(AF280:AF281)</f>
        <v>103559754</v>
      </c>
      <c r="AG279" s="145">
        <f>SUM(AG280:AG281)</f>
        <v>95782330</v>
      </c>
      <c r="AH279" s="505">
        <f t="shared" si="328"/>
        <v>0.92489916497870395</v>
      </c>
      <c r="AI279" s="145">
        <f t="shared" ref="AI279:AJ279" si="349">SUM(AI280:AI281)</f>
        <v>1400000000</v>
      </c>
      <c r="AJ279" s="145">
        <f t="shared" si="349"/>
        <v>573549745</v>
      </c>
      <c r="AK279" s="1321">
        <f t="shared" si="329"/>
        <v>0.40967838928571426</v>
      </c>
      <c r="AL279" s="166"/>
      <c r="AM279" s="159"/>
      <c r="AN279" s="482"/>
      <c r="AO279" s="145"/>
      <c r="AP279" s="483"/>
      <c r="AQ279" s="101"/>
    </row>
    <row r="280" spans="1:43" ht="127.5" x14ac:dyDescent="0.25">
      <c r="A280" s="268" t="s">
        <v>697</v>
      </c>
      <c r="B280" s="359" t="s">
        <v>867</v>
      </c>
      <c r="C280" s="387">
        <v>1</v>
      </c>
      <c r="D280" s="320">
        <v>1</v>
      </c>
      <c r="E280" s="234">
        <v>1</v>
      </c>
      <c r="F280" s="169">
        <v>1</v>
      </c>
      <c r="G280" s="1232"/>
      <c r="H280" s="167">
        <f t="shared" ref="H280:H281" si="350">IF((E280+G280)/C280&gt;=100%,100%,(E280+G280)/C280)</f>
        <v>1</v>
      </c>
      <c r="I280" s="520">
        <f t="shared" ref="I280:I281" si="351">IF(F280/D280&gt;=100%,100%,F280/D280)</f>
        <v>1</v>
      </c>
      <c r="J280" s="1418" t="s">
        <v>1048</v>
      </c>
      <c r="K280" s="1418"/>
      <c r="L280" s="1454"/>
      <c r="M280" s="1455"/>
      <c r="N280" s="1238"/>
      <c r="O280" s="1418"/>
      <c r="P280" s="1418"/>
      <c r="Q280" s="1418"/>
      <c r="R280" s="1239"/>
      <c r="S280" s="1418"/>
      <c r="T280" s="238">
        <v>1</v>
      </c>
      <c r="U280" s="1241">
        <f t="shared" ref="U280:U281" si="352">SUM(E280:F280)</f>
        <v>2</v>
      </c>
      <c r="V280" s="170">
        <f t="shared" ref="V280:V281" si="353">IF(U280/T280&gt;=100%,100%,U280/T280)</f>
        <v>1</v>
      </c>
      <c r="W280" s="1327">
        <v>0.8</v>
      </c>
      <c r="X280" s="1369">
        <v>0.8</v>
      </c>
      <c r="Y280" s="551">
        <v>140000000</v>
      </c>
      <c r="Z280" s="288">
        <f>199350000+47994825</f>
        <v>247344825</v>
      </c>
      <c r="AA280" s="1388">
        <v>138446960</v>
      </c>
      <c r="AB280" s="208">
        <f t="shared" si="326"/>
        <v>0.98890685714285709</v>
      </c>
      <c r="AC280" s="206">
        <v>133311376</v>
      </c>
      <c r="AD280" s="1389">
        <f t="shared" si="327"/>
        <v>0.9522241142857143</v>
      </c>
      <c r="AE280" s="1247">
        <f>+AA280-AC280</f>
        <v>5135584</v>
      </c>
      <c r="AF280" s="1388">
        <f>28998754+58350000</f>
        <v>87348754</v>
      </c>
      <c r="AG280" s="1388">
        <f>25221330+54350000</f>
        <v>79571330</v>
      </c>
      <c r="AH280" s="506">
        <f t="shared" si="328"/>
        <v>0.91096124851420324</v>
      </c>
      <c r="AI280" s="1255">
        <f>1400000000/2</f>
        <v>700000000</v>
      </c>
      <c r="AJ280" s="1255">
        <f t="shared" ref="AJ280:AJ285" si="354">+SUM(Z280:AA280)</f>
        <v>385791785</v>
      </c>
      <c r="AK280" s="1390">
        <f t="shared" si="329"/>
        <v>0.55113112142857146</v>
      </c>
      <c r="AL280" s="1330"/>
      <c r="AM280" s="1248"/>
      <c r="AN280" s="1249" t="s">
        <v>302</v>
      </c>
      <c r="AO280" s="495" t="s">
        <v>895</v>
      </c>
      <c r="AP280" s="1250"/>
      <c r="AQ280" s="1251"/>
    </row>
    <row r="281" spans="1:43" ht="178.5" x14ac:dyDescent="0.25">
      <c r="A281" s="268" t="s">
        <v>698</v>
      </c>
      <c r="B281" s="359" t="s">
        <v>868</v>
      </c>
      <c r="C281" s="387">
        <v>0.5</v>
      </c>
      <c r="D281" s="320">
        <v>1</v>
      </c>
      <c r="E281" s="234">
        <v>0.5</v>
      </c>
      <c r="F281" s="169">
        <v>1</v>
      </c>
      <c r="G281" s="1232"/>
      <c r="H281" s="167">
        <f t="shared" si="350"/>
        <v>1</v>
      </c>
      <c r="I281" s="520">
        <f t="shared" si="351"/>
        <v>1</v>
      </c>
      <c r="J281" s="1418" t="s">
        <v>1049</v>
      </c>
      <c r="K281" s="1418"/>
      <c r="L281" s="1454"/>
      <c r="M281" s="1455"/>
      <c r="N281" s="1238"/>
      <c r="O281" s="1418"/>
      <c r="P281" s="1418"/>
      <c r="Q281" s="1418"/>
      <c r="R281" s="1239"/>
      <c r="S281" s="1418"/>
      <c r="T281" s="238">
        <v>1</v>
      </c>
      <c r="U281" s="1241">
        <f t="shared" si="352"/>
        <v>1.5</v>
      </c>
      <c r="V281" s="170">
        <f t="shared" si="353"/>
        <v>1</v>
      </c>
      <c r="W281" s="1327">
        <v>0.2</v>
      </c>
      <c r="X281" s="1369">
        <v>0.2</v>
      </c>
      <c r="Y281" s="551">
        <v>140000000</v>
      </c>
      <c r="Z281" s="288">
        <v>49311000</v>
      </c>
      <c r="AA281" s="1388">
        <v>138446960</v>
      </c>
      <c r="AB281" s="208">
        <f t="shared" si="326"/>
        <v>0.98890685714285709</v>
      </c>
      <c r="AC281" s="206">
        <v>133311376</v>
      </c>
      <c r="AD281" s="1389">
        <f t="shared" si="327"/>
        <v>0.9522241142857143</v>
      </c>
      <c r="AE281" s="1247">
        <f>+AA281-AC281</f>
        <v>5135584</v>
      </c>
      <c r="AF281" s="1388">
        <v>16211000</v>
      </c>
      <c r="AG281" s="1388">
        <v>16211000</v>
      </c>
      <c r="AH281" s="506">
        <f t="shared" si="328"/>
        <v>1</v>
      </c>
      <c r="AI281" s="1255">
        <f>1400000000/2</f>
        <v>700000000</v>
      </c>
      <c r="AJ281" s="1255">
        <f t="shared" si="354"/>
        <v>187757960</v>
      </c>
      <c r="AK281" s="1332">
        <f t="shared" si="329"/>
        <v>0.26822565714285712</v>
      </c>
      <c r="AL281" s="1330"/>
      <c r="AM281" s="1248"/>
      <c r="AN281" s="1249" t="s">
        <v>302</v>
      </c>
      <c r="AO281" s="495" t="s">
        <v>895</v>
      </c>
      <c r="AP281" s="1250"/>
      <c r="AQ281" s="1251"/>
    </row>
    <row r="282" spans="1:43" x14ac:dyDescent="0.25">
      <c r="A282" s="241" t="s">
        <v>509</v>
      </c>
      <c r="B282" s="140"/>
      <c r="C282" s="141"/>
      <c r="D282" s="187"/>
      <c r="E282" s="181"/>
      <c r="F282" s="141"/>
      <c r="G282" s="141"/>
      <c r="H282" s="142">
        <f>+SUMPRODUCT(H283:H283,W283:W283)</f>
        <v>1</v>
      </c>
      <c r="I282" s="157">
        <f>+SUMPRODUCT(I283:I283,X283:X283)</f>
        <v>0.91300000000000003</v>
      </c>
      <c r="J282" s="172"/>
      <c r="K282" s="172"/>
      <c r="L282" s="143"/>
      <c r="M282" s="144"/>
      <c r="N282" s="144"/>
      <c r="O282" s="172"/>
      <c r="P282" s="172"/>
      <c r="Q282" s="172"/>
      <c r="R282" s="158"/>
      <c r="S282" s="172"/>
      <c r="T282" s="193"/>
      <c r="U282" s="202"/>
      <c r="V282" s="165">
        <f>+SUMPRODUCT(V283:V283,W283:W283)</f>
        <v>1</v>
      </c>
      <c r="W282" s="142">
        <v>0.2</v>
      </c>
      <c r="X282" s="394">
        <v>0.2</v>
      </c>
      <c r="Y282" s="145">
        <f>SUM(Y283)</f>
        <v>85000000</v>
      </c>
      <c r="Z282" s="145">
        <f>SUM(Z283)</f>
        <v>79200000</v>
      </c>
      <c r="AA282" s="145">
        <f>SUM(AA283)</f>
        <v>84068979</v>
      </c>
      <c r="AB282" s="207">
        <f t="shared" si="326"/>
        <v>0.98904681176470588</v>
      </c>
      <c r="AC282" s="145">
        <f>SUM(AC283)</f>
        <v>80987179</v>
      </c>
      <c r="AD282" s="1386">
        <f t="shared" si="327"/>
        <v>0.95279034117647055</v>
      </c>
      <c r="AE282" s="145">
        <f>SUM(AE283)</f>
        <v>3081800</v>
      </c>
      <c r="AF282" s="145">
        <f>SUM(AF283)</f>
        <v>16100000</v>
      </c>
      <c r="AG282" s="145">
        <f>SUM(AG283)</f>
        <v>16100000</v>
      </c>
      <c r="AH282" s="505">
        <f t="shared" si="328"/>
        <v>1</v>
      </c>
      <c r="AI282" s="145">
        <f t="shared" ref="AI282:AJ282" si="355">SUM(AI283)</f>
        <v>400000000</v>
      </c>
      <c r="AJ282" s="145">
        <f t="shared" si="355"/>
        <v>163268979</v>
      </c>
      <c r="AK282" s="1321">
        <f t="shared" si="329"/>
        <v>0.40817244749999998</v>
      </c>
      <c r="AL282" s="166"/>
      <c r="AM282" s="159"/>
      <c r="AN282" s="482"/>
      <c r="AO282" s="145"/>
      <c r="AP282" s="483"/>
      <c r="AQ282" s="101"/>
    </row>
    <row r="283" spans="1:43" ht="102" x14ac:dyDescent="0.25">
      <c r="A283" s="269" t="s">
        <v>699</v>
      </c>
      <c r="B283" s="360" t="s">
        <v>869</v>
      </c>
      <c r="C283" s="387">
        <v>1</v>
      </c>
      <c r="D283" s="320">
        <v>1</v>
      </c>
      <c r="E283" s="234">
        <v>0.88</v>
      </c>
      <c r="F283" s="169">
        <v>0.91300000000000003</v>
      </c>
      <c r="G283" s="169">
        <v>0.12</v>
      </c>
      <c r="H283" s="167">
        <f>IF((E283+G283)/C283&gt;=100%,100%,(E283+G283)/C283)</f>
        <v>1</v>
      </c>
      <c r="I283" s="520">
        <f t="shared" ref="I283" si="356">IF(F283/D283&gt;=100%,100%,F283/D283)</f>
        <v>0.91300000000000003</v>
      </c>
      <c r="J283" s="1418" t="s">
        <v>1050</v>
      </c>
      <c r="K283" s="1418"/>
      <c r="L283" s="1454"/>
      <c r="M283" s="1455"/>
      <c r="N283" s="1238"/>
      <c r="O283" s="1418"/>
      <c r="P283" s="1418"/>
      <c r="Q283" s="1418"/>
      <c r="R283" s="1239"/>
      <c r="S283" s="1418"/>
      <c r="T283" s="238">
        <v>1</v>
      </c>
      <c r="U283" s="1241">
        <f t="shared" ref="U283" si="357">SUM(E283:F283)</f>
        <v>1.7930000000000001</v>
      </c>
      <c r="V283" s="170">
        <f t="shared" ref="V283" si="358">IF(U283/T283&gt;=100%,100%,U283/T283)</f>
        <v>1</v>
      </c>
      <c r="W283" s="322">
        <v>1</v>
      </c>
      <c r="X283" s="445">
        <v>1</v>
      </c>
      <c r="Y283" s="480">
        <v>85000000</v>
      </c>
      <c r="Z283" s="288">
        <v>79200000</v>
      </c>
      <c r="AA283" s="1388">
        <v>84068979</v>
      </c>
      <c r="AB283" s="208">
        <f t="shared" si="326"/>
        <v>0.98904681176470588</v>
      </c>
      <c r="AC283" s="206">
        <v>80987179</v>
      </c>
      <c r="AD283" s="1389">
        <f t="shared" si="327"/>
        <v>0.95279034117647055</v>
      </c>
      <c r="AE283" s="1247">
        <f>+AA283-AC283</f>
        <v>3081800</v>
      </c>
      <c r="AF283" s="1388">
        <v>16100000</v>
      </c>
      <c r="AG283" s="1388">
        <v>16100000</v>
      </c>
      <c r="AH283" s="506">
        <f t="shared" si="328"/>
        <v>1</v>
      </c>
      <c r="AI283" s="1255">
        <v>400000000</v>
      </c>
      <c r="AJ283" s="1255">
        <f t="shared" si="354"/>
        <v>163268979</v>
      </c>
      <c r="AK283" s="1332">
        <f t="shared" si="329"/>
        <v>0.40817244749999998</v>
      </c>
      <c r="AL283" s="1330"/>
      <c r="AM283" s="1248"/>
      <c r="AN283" s="1249" t="s">
        <v>302</v>
      </c>
      <c r="AO283" s="499" t="s">
        <v>929</v>
      </c>
      <c r="AP283" s="1250"/>
      <c r="AQ283" s="1251"/>
    </row>
    <row r="284" spans="1:43" x14ac:dyDescent="0.25">
      <c r="A284" s="241" t="s">
        <v>510</v>
      </c>
      <c r="B284" s="140"/>
      <c r="C284" s="141"/>
      <c r="D284" s="187"/>
      <c r="E284" s="181"/>
      <c r="F284" s="141"/>
      <c r="G284" s="141"/>
      <c r="H284" s="142">
        <f>+SUMPRODUCT(H285:H285,W285:W285)</f>
        <v>1</v>
      </c>
      <c r="I284" s="157">
        <f>+SUMPRODUCT(I285:I285,X285:X285)</f>
        <v>1</v>
      </c>
      <c r="J284" s="172"/>
      <c r="K284" s="172"/>
      <c r="L284" s="143"/>
      <c r="M284" s="144"/>
      <c r="N284" s="144"/>
      <c r="O284" s="172"/>
      <c r="P284" s="172"/>
      <c r="Q284" s="172"/>
      <c r="R284" s="158"/>
      <c r="S284" s="172"/>
      <c r="T284" s="193"/>
      <c r="U284" s="202"/>
      <c r="V284" s="165">
        <f>+SUMPRODUCT(V285:V285,W285:W285)</f>
        <v>1</v>
      </c>
      <c r="W284" s="142">
        <v>0.4</v>
      </c>
      <c r="X284" s="394">
        <v>0.4</v>
      </c>
      <c r="Y284" s="145">
        <f>SUM(Y285)</f>
        <v>280000000</v>
      </c>
      <c r="Z284" s="145">
        <f>SUM(Z285)</f>
        <v>215750000</v>
      </c>
      <c r="AA284" s="145">
        <f>SUM(AA285)</f>
        <v>274337107.66000003</v>
      </c>
      <c r="AB284" s="207">
        <f t="shared" si="326"/>
        <v>0.97977538450000012</v>
      </c>
      <c r="AC284" s="145">
        <f>SUM(AC285)</f>
        <v>261625597</v>
      </c>
      <c r="AD284" s="1386">
        <f t="shared" si="327"/>
        <v>0.93437713214285711</v>
      </c>
      <c r="AE284" s="145">
        <f>SUM(AE285)</f>
        <v>12711510.660000026</v>
      </c>
      <c r="AF284" s="145">
        <f>SUM(AF285)</f>
        <v>78300000</v>
      </c>
      <c r="AG284" s="145">
        <f>SUM(AG285)</f>
        <v>48300000</v>
      </c>
      <c r="AH284" s="505">
        <f t="shared" si="328"/>
        <v>0.61685823754789271</v>
      </c>
      <c r="AI284" s="145">
        <f>SUM(AI285)</f>
        <v>1200000000</v>
      </c>
      <c r="AJ284" s="145">
        <f>SUM(AJ285)</f>
        <v>490087107.66000003</v>
      </c>
      <c r="AK284" s="1321">
        <f t="shared" si="329"/>
        <v>0.40840592305000001</v>
      </c>
      <c r="AL284" s="166"/>
      <c r="AM284" s="159"/>
      <c r="AN284" s="482"/>
      <c r="AO284" s="145"/>
      <c r="AP284" s="483"/>
      <c r="AQ284" s="101"/>
    </row>
    <row r="285" spans="1:43" ht="204" x14ac:dyDescent="0.25">
      <c r="A285" s="268" t="s">
        <v>700</v>
      </c>
      <c r="B285" s="359" t="s">
        <v>870</v>
      </c>
      <c r="C285" s="387">
        <v>1</v>
      </c>
      <c r="D285" s="320">
        <v>1</v>
      </c>
      <c r="E285" s="234">
        <v>1</v>
      </c>
      <c r="F285" s="169">
        <v>1</v>
      </c>
      <c r="G285" s="1232"/>
      <c r="H285" s="167">
        <f>IF((E285+G285)/C285&gt;=100%,100%,(E285+G285)/C285)</f>
        <v>1</v>
      </c>
      <c r="I285" s="520">
        <f t="shared" ref="I285" si="359">IF(F285/D285&gt;=100%,100%,F285/D285)</f>
        <v>1</v>
      </c>
      <c r="J285" s="1418" t="s">
        <v>1051</v>
      </c>
      <c r="K285" s="1418"/>
      <c r="L285" s="1454"/>
      <c r="M285" s="1455"/>
      <c r="N285" s="1238"/>
      <c r="O285" s="1418"/>
      <c r="P285" s="1418"/>
      <c r="Q285" s="1418"/>
      <c r="R285" s="1239"/>
      <c r="S285" s="1418"/>
      <c r="T285" s="238">
        <v>1</v>
      </c>
      <c r="U285" s="1241">
        <f t="shared" ref="U285" si="360">SUM(E285:F285)</f>
        <v>2</v>
      </c>
      <c r="V285" s="170">
        <f t="shared" ref="V285" si="361">IF(U285/T285&gt;=100%,100%,U285/T285)</f>
        <v>1</v>
      </c>
      <c r="W285" s="322">
        <v>1</v>
      </c>
      <c r="X285" s="445">
        <v>1</v>
      </c>
      <c r="Y285" s="479">
        <v>280000000</v>
      </c>
      <c r="Z285" s="287">
        <v>215750000</v>
      </c>
      <c r="AA285" s="1388">
        <v>274337107.66000003</v>
      </c>
      <c r="AB285" s="208">
        <f t="shared" si="326"/>
        <v>0.97977538450000012</v>
      </c>
      <c r="AC285" s="206">
        <v>261625597</v>
      </c>
      <c r="AD285" s="1389">
        <f t="shared" si="327"/>
        <v>0.93437713214285711</v>
      </c>
      <c r="AE285" s="1247">
        <f>+AA285-AC285</f>
        <v>12711510.660000026</v>
      </c>
      <c r="AF285" s="1388">
        <v>78300000</v>
      </c>
      <c r="AG285" s="1388">
        <v>48300000</v>
      </c>
      <c r="AH285" s="506">
        <f t="shared" si="328"/>
        <v>0.61685823754789271</v>
      </c>
      <c r="AI285" s="1255">
        <v>1200000000</v>
      </c>
      <c r="AJ285" s="1255">
        <f t="shared" si="354"/>
        <v>490087107.66000003</v>
      </c>
      <c r="AK285" s="1332">
        <f t="shared" si="329"/>
        <v>0.40840592305000001</v>
      </c>
      <c r="AL285" s="1330"/>
      <c r="AM285" s="1248"/>
      <c r="AN285" s="1249" t="s">
        <v>302</v>
      </c>
      <c r="AO285" s="495" t="s">
        <v>895</v>
      </c>
      <c r="AP285" s="1250"/>
      <c r="AQ285" s="1251"/>
    </row>
    <row r="286" spans="1:43" ht="51" x14ac:dyDescent="0.25">
      <c r="A286" s="1201" t="s">
        <v>452</v>
      </c>
      <c r="B286" s="1202"/>
      <c r="C286" s="1203"/>
      <c r="D286" s="1204"/>
      <c r="E286" s="1205"/>
      <c r="F286" s="1203"/>
      <c r="G286" s="1203"/>
      <c r="H286" s="1206">
        <f>+(H287*0%)+(H289*100%)</f>
        <v>1</v>
      </c>
      <c r="I286" s="1260">
        <f>+(I287*X287)+(I289*X289)</f>
        <v>0.95</v>
      </c>
      <c r="J286" s="1413"/>
      <c r="K286" s="1413"/>
      <c r="L286" s="1207"/>
      <c r="M286" s="1208"/>
      <c r="N286" s="1208"/>
      <c r="O286" s="1413"/>
      <c r="P286" s="1413"/>
      <c r="Q286" s="1413"/>
      <c r="R286" s="1310"/>
      <c r="S286" s="1413"/>
      <c r="T286" s="1414"/>
      <c r="U286" s="1211"/>
      <c r="V286" s="1212">
        <f>+(V287*W287)+(V289*W289)</f>
        <v>0.95</v>
      </c>
      <c r="W286" s="1213">
        <v>0.1</v>
      </c>
      <c r="X286" s="1214">
        <v>0.1</v>
      </c>
      <c r="Y286" s="1215">
        <f>+Y287+Y289</f>
        <v>1140000000</v>
      </c>
      <c r="Z286" s="1215">
        <f>+Z287+Z289</f>
        <v>516510025</v>
      </c>
      <c r="AA286" s="1215">
        <f>+AA287+AA289</f>
        <v>767376643.79999995</v>
      </c>
      <c r="AB286" s="1216">
        <f t="shared" si="326"/>
        <v>0.67313740684210521</v>
      </c>
      <c r="AC286" s="1215">
        <f>+AC287+AC289</f>
        <v>342271445</v>
      </c>
      <c r="AD286" s="1434">
        <f t="shared" si="327"/>
        <v>0.30023810964912279</v>
      </c>
      <c r="AE286" s="1215">
        <f>+AE287+AE289</f>
        <v>425105198.79999995</v>
      </c>
      <c r="AF286" s="1215">
        <f>+AF287+AF289</f>
        <v>54314523</v>
      </c>
      <c r="AG286" s="1215">
        <f>+AG287+AG289</f>
        <v>51321583</v>
      </c>
      <c r="AH286" s="1219">
        <f t="shared" si="328"/>
        <v>0.94489613763155023</v>
      </c>
      <c r="AI286" s="1215">
        <f>+AI287+AI289</f>
        <v>9285000000</v>
      </c>
      <c r="AJ286" s="1215">
        <f>+AJ287+AJ289</f>
        <v>1283886668.8</v>
      </c>
      <c r="AK286" s="209">
        <f t="shared" si="329"/>
        <v>0.1382753547442111</v>
      </c>
      <c r="AL286" s="161"/>
      <c r="AM286" s="1221" t="s">
        <v>301</v>
      </c>
      <c r="AN286" s="1222"/>
      <c r="AO286" s="1215"/>
      <c r="AP286" s="1223"/>
      <c r="AQ286" s="1224"/>
    </row>
    <row r="287" spans="1:43" x14ac:dyDescent="0.25">
      <c r="A287" s="241" t="s">
        <v>511</v>
      </c>
      <c r="B287" s="140"/>
      <c r="C287" s="141"/>
      <c r="D287" s="187"/>
      <c r="E287" s="181"/>
      <c r="F287" s="141"/>
      <c r="G287" s="141"/>
      <c r="H287" s="142">
        <v>0</v>
      </c>
      <c r="I287" s="157">
        <f>+SUMPRODUCT(I288:I288,X288:X288)</f>
        <v>0</v>
      </c>
      <c r="J287" s="172"/>
      <c r="K287" s="172"/>
      <c r="L287" s="143"/>
      <c r="M287" s="144"/>
      <c r="N287" s="144"/>
      <c r="O287" s="172"/>
      <c r="P287" s="172"/>
      <c r="Q287" s="172"/>
      <c r="R287" s="158"/>
      <c r="S287" s="172"/>
      <c r="T287" s="193"/>
      <c r="U287" s="202"/>
      <c r="V287" s="165">
        <f>+SUMPRODUCT(V288:V288,W288:W288)</f>
        <v>0</v>
      </c>
      <c r="W287" s="142">
        <v>0.05</v>
      </c>
      <c r="X287" s="394">
        <v>0.05</v>
      </c>
      <c r="Y287" s="145">
        <f>SUM(Y288)</f>
        <v>90000000</v>
      </c>
      <c r="Z287" s="145">
        <f>SUM(Z288)</f>
        <v>0</v>
      </c>
      <c r="AA287" s="145">
        <f>SUM(AA288)</f>
        <v>13303871</v>
      </c>
      <c r="AB287" s="207">
        <f t="shared" si="326"/>
        <v>0.14782078888888889</v>
      </c>
      <c r="AC287" s="145">
        <f>SUM(AC288)</f>
        <v>3262173</v>
      </c>
      <c r="AD287" s="588">
        <f t="shared" si="327"/>
        <v>3.6246366666666668E-2</v>
      </c>
      <c r="AE287" s="145">
        <f>SUM(AE288)</f>
        <v>10041698</v>
      </c>
      <c r="AF287" s="145">
        <f>SUM(AF288)</f>
        <v>0</v>
      </c>
      <c r="AG287" s="145">
        <f>SUM(AG288)</f>
        <v>0</v>
      </c>
      <c r="AH287" s="505" t="e">
        <f t="shared" si="328"/>
        <v>#DIV/0!</v>
      </c>
      <c r="AI287" s="145">
        <f>SUM(AI288)</f>
        <v>240000000</v>
      </c>
      <c r="AJ287" s="145">
        <f>SUM(AJ288)</f>
        <v>13303871</v>
      </c>
      <c r="AK287" s="1321">
        <f t="shared" si="329"/>
        <v>5.5432795833333333E-2</v>
      </c>
      <c r="AL287" s="166"/>
      <c r="AM287" s="159"/>
      <c r="AN287" s="482"/>
      <c r="AO287" s="145"/>
      <c r="AP287" s="483"/>
      <c r="AQ287" s="101"/>
    </row>
    <row r="288" spans="1:43" ht="165.75" x14ac:dyDescent="0.25">
      <c r="A288" s="269" t="s">
        <v>701</v>
      </c>
      <c r="B288" s="360" t="s">
        <v>871</v>
      </c>
      <c r="C288" s="389">
        <v>0</v>
      </c>
      <c r="D288" s="186">
        <v>1</v>
      </c>
      <c r="E288" s="1234">
        <v>0</v>
      </c>
      <c r="F288" s="1232">
        <v>0</v>
      </c>
      <c r="G288" s="1232"/>
      <c r="H288" s="167" t="e">
        <f>IF((E288+G288)/C288&gt;=100%,100%,(E288+G288)/C288)</f>
        <v>#DIV/0!</v>
      </c>
      <c r="I288" s="520">
        <f t="shared" ref="I288" si="362">IF(F288/D288&gt;=100%,100%,F288/D288)</f>
        <v>0</v>
      </c>
      <c r="J288" s="1418" t="s">
        <v>1052</v>
      </c>
      <c r="K288" s="1418"/>
      <c r="L288" s="1454"/>
      <c r="M288" s="1455"/>
      <c r="N288" s="1238"/>
      <c r="O288" s="1418"/>
      <c r="P288" s="1418"/>
      <c r="Q288" s="1418"/>
      <c r="R288" s="1239"/>
      <c r="S288" s="1418"/>
      <c r="T288" s="1419">
        <v>2</v>
      </c>
      <c r="U288" s="1241">
        <f t="shared" ref="U288" si="363">SUM(E288:F288)</f>
        <v>0</v>
      </c>
      <c r="V288" s="170">
        <f t="shared" ref="V288" si="364">IF(U288/T288&gt;=100%,100%,U288/T288)</f>
        <v>0</v>
      </c>
      <c r="W288" s="322">
        <v>1</v>
      </c>
      <c r="X288" s="445">
        <v>1</v>
      </c>
      <c r="Y288" s="480">
        <v>90000000</v>
      </c>
      <c r="Z288" s="288">
        <v>0</v>
      </c>
      <c r="AA288" s="1388">
        <v>13303871</v>
      </c>
      <c r="AB288" s="208">
        <f t="shared" si="326"/>
        <v>0.14782078888888889</v>
      </c>
      <c r="AC288" s="206">
        <v>3262173</v>
      </c>
      <c r="AD288" s="1331">
        <f t="shared" si="327"/>
        <v>3.6246366666666668E-2</v>
      </c>
      <c r="AE288" s="1247">
        <f>+AA288-AC288</f>
        <v>10041698</v>
      </c>
      <c r="AF288" s="1388"/>
      <c r="AG288" s="1388"/>
      <c r="AH288" s="506" t="e">
        <f t="shared" si="328"/>
        <v>#DIV/0!</v>
      </c>
      <c r="AI288" s="1255">
        <v>240000000</v>
      </c>
      <c r="AJ288" s="1255">
        <f t="shared" ref="AJ288:AJ292" si="365">+SUM(Z288:AA288)</f>
        <v>13303871</v>
      </c>
      <c r="AK288" s="1332">
        <f t="shared" si="329"/>
        <v>5.5432795833333333E-2</v>
      </c>
      <c r="AL288" s="1330"/>
      <c r="AM288" s="1248"/>
      <c r="AN288" s="1249" t="s">
        <v>302</v>
      </c>
      <c r="AO288" s="496" t="s">
        <v>918</v>
      </c>
      <c r="AP288" s="1250"/>
      <c r="AQ288" s="1251"/>
    </row>
    <row r="289" spans="1:43" ht="25.5" x14ac:dyDescent="0.25">
      <c r="A289" s="241" t="s">
        <v>512</v>
      </c>
      <c r="B289" s="140"/>
      <c r="C289" s="141"/>
      <c r="D289" s="187"/>
      <c r="E289" s="181"/>
      <c r="F289" s="141"/>
      <c r="G289" s="141"/>
      <c r="H289" s="142">
        <f>+(H290*50%)+(H291*50%)</f>
        <v>1</v>
      </c>
      <c r="I289" s="157">
        <f>+SUMPRODUCT(I290:I292,X290:X292)</f>
        <v>1</v>
      </c>
      <c r="J289" s="172"/>
      <c r="K289" s="172"/>
      <c r="L289" s="143"/>
      <c r="M289" s="144"/>
      <c r="N289" s="144"/>
      <c r="O289" s="172"/>
      <c r="P289" s="172"/>
      <c r="Q289" s="172"/>
      <c r="R289" s="158"/>
      <c r="S289" s="172"/>
      <c r="T289" s="193"/>
      <c r="U289" s="202"/>
      <c r="V289" s="165">
        <f>+SUMPRODUCT(V290:V292,W290:W292)</f>
        <v>1</v>
      </c>
      <c r="W289" s="142">
        <v>0.95</v>
      </c>
      <c r="X289" s="394">
        <v>0.95</v>
      </c>
      <c r="Y289" s="145">
        <f>SUM(Y290:Y292)</f>
        <v>1050000000</v>
      </c>
      <c r="Z289" s="145">
        <f>SUM(Z290:Z292)</f>
        <v>516510025</v>
      </c>
      <c r="AA289" s="145">
        <f>SUM(AA290:AA292)</f>
        <v>754072772.79999995</v>
      </c>
      <c r="AB289" s="207">
        <f t="shared" si="326"/>
        <v>0.71816454552380948</v>
      </c>
      <c r="AC289" s="145">
        <f>SUM(AC290:AC292)</f>
        <v>339009272</v>
      </c>
      <c r="AD289" s="588">
        <f t="shared" si="327"/>
        <v>0.32286597333333333</v>
      </c>
      <c r="AE289" s="145">
        <f>SUM(AE290:AE292)</f>
        <v>415063500.79999995</v>
      </c>
      <c r="AF289" s="145">
        <f>SUM(AF290:AF292)</f>
        <v>54314523</v>
      </c>
      <c r="AG289" s="145">
        <f>SUM(AG290:AG292)</f>
        <v>51321583</v>
      </c>
      <c r="AH289" s="505">
        <f t="shared" si="328"/>
        <v>0.94489613763155023</v>
      </c>
      <c r="AI289" s="145">
        <f t="shared" ref="AI289:AJ289" si="366">SUM(AI290:AI292)</f>
        <v>9045000000</v>
      </c>
      <c r="AJ289" s="145">
        <f t="shared" si="366"/>
        <v>1270582797.8</v>
      </c>
      <c r="AK289" s="1321">
        <f t="shared" si="329"/>
        <v>0.14047349892758429</v>
      </c>
      <c r="AL289" s="166"/>
      <c r="AM289" s="159"/>
      <c r="AN289" s="482"/>
      <c r="AO289" s="145"/>
      <c r="AP289" s="483"/>
      <c r="AQ289" s="101"/>
    </row>
    <row r="290" spans="1:43" ht="51" x14ac:dyDescent="0.25">
      <c r="A290" s="270" t="s">
        <v>702</v>
      </c>
      <c r="B290" s="361" t="s">
        <v>888</v>
      </c>
      <c r="C290" s="391">
        <v>1</v>
      </c>
      <c r="D290" s="323">
        <v>1</v>
      </c>
      <c r="E290" s="240">
        <v>0.78</v>
      </c>
      <c r="F290" s="169">
        <v>1</v>
      </c>
      <c r="G290" s="169">
        <v>0.22</v>
      </c>
      <c r="H290" s="167">
        <f t="shared" ref="H290:H292" si="367">IF((E290+G290)/C290&gt;=100%,100%,(E290+G290)/C290)</f>
        <v>1</v>
      </c>
      <c r="I290" s="520">
        <f t="shared" ref="I290:I292" si="368">IF(F290/D290&gt;=100%,100%,F290/D290)</f>
        <v>1</v>
      </c>
      <c r="J290" s="1418" t="s">
        <v>1512</v>
      </c>
      <c r="K290" s="1418"/>
      <c r="L290" s="1454"/>
      <c r="M290" s="1455"/>
      <c r="N290" s="1238"/>
      <c r="O290" s="1418"/>
      <c r="P290" s="1418"/>
      <c r="Q290" s="1418"/>
      <c r="R290" s="1239"/>
      <c r="S290" s="1418"/>
      <c r="T290" s="240">
        <v>1</v>
      </c>
      <c r="U290" s="1241">
        <f t="shared" ref="U290:U292" si="369">SUM(E290:F290)</f>
        <v>1.78</v>
      </c>
      <c r="V290" s="170">
        <f t="shared" ref="V290:V292" si="370">IF(U290/T290&gt;=100%,100%,U290/T290)</f>
        <v>1</v>
      </c>
      <c r="W290" s="427">
        <v>0.4</v>
      </c>
      <c r="X290" s="446">
        <v>0.4</v>
      </c>
      <c r="Y290" s="481">
        <v>200000000</v>
      </c>
      <c r="Z290" s="289">
        <f>51250000+465260025</f>
        <v>516510025</v>
      </c>
      <c r="AA290" s="1388">
        <v>163961645</v>
      </c>
      <c r="AB290" s="208">
        <f t="shared" si="326"/>
        <v>0.81980822499999995</v>
      </c>
      <c r="AC290" s="206">
        <v>132837706</v>
      </c>
      <c r="AD290" s="1389">
        <f t="shared" si="327"/>
        <v>0.66418853</v>
      </c>
      <c r="AE290" s="1247">
        <f>+AA290-AC290</f>
        <v>31123939</v>
      </c>
      <c r="AF290" s="1388">
        <f>38664523+15650000</f>
        <v>54314523</v>
      </c>
      <c r="AG290" s="1388">
        <f>35671583+15650000</f>
        <v>51321583</v>
      </c>
      <c r="AH290" s="506">
        <f t="shared" si="328"/>
        <v>0.94489613763155023</v>
      </c>
      <c r="AI290" s="1255">
        <v>845000000</v>
      </c>
      <c r="AJ290" s="1255">
        <f t="shared" si="365"/>
        <v>680471670</v>
      </c>
      <c r="AK290" s="1390">
        <f t="shared" si="329"/>
        <v>0.80529191715976334</v>
      </c>
      <c r="AL290" s="1330"/>
      <c r="AM290" s="1248"/>
      <c r="AN290" s="1249" t="s">
        <v>302</v>
      </c>
      <c r="AO290" s="497" t="s">
        <v>895</v>
      </c>
      <c r="AP290" s="1250"/>
      <c r="AQ290" s="1251"/>
    </row>
    <row r="291" spans="1:43" ht="102" x14ac:dyDescent="0.25">
      <c r="A291" s="270" t="s">
        <v>703</v>
      </c>
      <c r="B291" s="361" t="s">
        <v>889</v>
      </c>
      <c r="C291" s="391">
        <v>1</v>
      </c>
      <c r="D291" s="323">
        <v>1</v>
      </c>
      <c r="E291" s="240">
        <v>0.93</v>
      </c>
      <c r="F291" s="169">
        <v>1</v>
      </c>
      <c r="G291" s="169">
        <v>7.0000000000000007E-2</v>
      </c>
      <c r="H291" s="167">
        <f t="shared" si="367"/>
        <v>1</v>
      </c>
      <c r="I291" s="520">
        <f t="shared" si="368"/>
        <v>1</v>
      </c>
      <c r="J291" s="1418" t="s">
        <v>1053</v>
      </c>
      <c r="K291" s="1418"/>
      <c r="L291" s="1454"/>
      <c r="M291" s="1455"/>
      <c r="N291" s="1238"/>
      <c r="O291" s="1418"/>
      <c r="P291" s="1418"/>
      <c r="Q291" s="1418"/>
      <c r="R291" s="1239"/>
      <c r="S291" s="1418"/>
      <c r="T291" s="240">
        <v>1</v>
      </c>
      <c r="U291" s="1241">
        <f t="shared" si="369"/>
        <v>1.9300000000000002</v>
      </c>
      <c r="V291" s="170">
        <f t="shared" si="370"/>
        <v>1</v>
      </c>
      <c r="W291" s="427">
        <v>0.4</v>
      </c>
      <c r="X291" s="446">
        <v>0.4</v>
      </c>
      <c r="Y291" s="481">
        <v>850000000</v>
      </c>
      <c r="Z291" s="289">
        <v>0</v>
      </c>
      <c r="AA291" s="1388">
        <v>590111127.79999995</v>
      </c>
      <c r="AB291" s="208">
        <f t="shared" si="326"/>
        <v>0.69424838564705882</v>
      </c>
      <c r="AC291" s="206">
        <v>206171566</v>
      </c>
      <c r="AD291" s="1331">
        <f t="shared" si="327"/>
        <v>0.24255478352941176</v>
      </c>
      <c r="AE291" s="1247">
        <f>+AA291-AC291</f>
        <v>383939561.79999995</v>
      </c>
      <c r="AF291" s="1388"/>
      <c r="AG291" s="1388"/>
      <c r="AH291" s="506" t="e">
        <f t="shared" si="328"/>
        <v>#DIV/0!</v>
      </c>
      <c r="AI291" s="1255">
        <v>7500000000</v>
      </c>
      <c r="AJ291" s="1255">
        <f t="shared" si="365"/>
        <v>590111127.79999995</v>
      </c>
      <c r="AK291" s="1332">
        <f t="shared" si="329"/>
        <v>7.8681483706666666E-2</v>
      </c>
      <c r="AL291" s="1330"/>
      <c r="AM291" s="1248"/>
      <c r="AN291" s="1249" t="s">
        <v>302</v>
      </c>
      <c r="AO291" s="497" t="s">
        <v>895</v>
      </c>
      <c r="AP291" s="1250"/>
      <c r="AQ291" s="1251"/>
    </row>
    <row r="292" spans="1:43" ht="77.25" thickBot="1" x14ac:dyDescent="0.3">
      <c r="A292" s="1459" t="s">
        <v>704</v>
      </c>
      <c r="B292" s="361" t="s">
        <v>872</v>
      </c>
      <c r="C292" s="1460">
        <v>0</v>
      </c>
      <c r="D292" s="1461">
        <v>4</v>
      </c>
      <c r="E292" s="1462">
        <v>0</v>
      </c>
      <c r="F292" s="1232">
        <v>4</v>
      </c>
      <c r="G292" s="1232"/>
      <c r="H292" s="167" t="e">
        <f t="shared" si="367"/>
        <v>#DIV/0!</v>
      </c>
      <c r="I292" s="520">
        <f t="shared" si="368"/>
        <v>1</v>
      </c>
      <c r="J292" s="1418" t="s">
        <v>1054</v>
      </c>
      <c r="K292" s="1418"/>
      <c r="L292" s="1454"/>
      <c r="M292" s="1455"/>
      <c r="N292" s="1238"/>
      <c r="O292" s="1418"/>
      <c r="P292" s="1418"/>
      <c r="Q292" s="1418"/>
      <c r="R292" s="1239"/>
      <c r="S292" s="1418"/>
      <c r="T292" s="1462">
        <v>4</v>
      </c>
      <c r="U292" s="1241">
        <f t="shared" si="369"/>
        <v>4</v>
      </c>
      <c r="V292" s="170">
        <f t="shared" si="370"/>
        <v>1</v>
      </c>
      <c r="W292" s="1463">
        <v>0.2</v>
      </c>
      <c r="X292" s="1464">
        <v>0.2</v>
      </c>
      <c r="Y292" s="1465">
        <v>0</v>
      </c>
      <c r="Z292" s="289">
        <v>0</v>
      </c>
      <c r="AA292" s="1388"/>
      <c r="AB292" s="208" t="e">
        <f t="shared" si="326"/>
        <v>#DIV/0!</v>
      </c>
      <c r="AC292" s="206"/>
      <c r="AD292" s="1466" t="e">
        <f t="shared" si="327"/>
        <v>#DIV/0!</v>
      </c>
      <c r="AE292" s="1467"/>
      <c r="AF292" s="1468"/>
      <c r="AG292" s="1468"/>
      <c r="AH292" s="1469" t="e">
        <f t="shared" si="328"/>
        <v>#DIV/0!</v>
      </c>
      <c r="AI292" s="1470">
        <v>700000000</v>
      </c>
      <c r="AJ292" s="1470">
        <f t="shared" si="365"/>
        <v>0</v>
      </c>
      <c r="AK292" s="1471">
        <f t="shared" si="329"/>
        <v>0</v>
      </c>
      <c r="AL292" s="1472"/>
      <c r="AM292" s="1473"/>
      <c r="AN292" s="1249" t="s">
        <v>302</v>
      </c>
      <c r="AO292" s="1474" t="s">
        <v>895</v>
      </c>
      <c r="AP292" s="1250"/>
      <c r="AQ292" s="1251"/>
    </row>
    <row r="293" spans="1:43" s="1483" customFormat="1" ht="39" thickBot="1" x14ac:dyDescent="0.3">
      <c r="A293" s="1475" t="s">
        <v>1513</v>
      </c>
      <c r="B293" s="1476"/>
      <c r="C293" s="1477"/>
      <c r="D293" s="1478"/>
      <c r="E293" s="1479"/>
      <c r="F293" s="1480"/>
      <c r="G293" s="1480"/>
      <c r="H293" s="1481"/>
      <c r="I293" s="1482"/>
      <c r="J293" s="1483" t="s">
        <v>1514</v>
      </c>
      <c r="L293" s="1484"/>
      <c r="M293" s="1485"/>
      <c r="N293" s="1486"/>
      <c r="R293" s="1487"/>
      <c r="T293" s="1479"/>
      <c r="U293" s="1488"/>
      <c r="V293" s="1489"/>
      <c r="W293" s="1490"/>
      <c r="X293" s="1491"/>
      <c r="Y293" s="1492">
        <v>6628530984</v>
      </c>
      <c r="Z293" s="1493"/>
      <c r="AA293" s="1494">
        <v>6515110547</v>
      </c>
      <c r="AB293" s="1495">
        <f t="shared" si="326"/>
        <v>0.98288905380788361</v>
      </c>
      <c r="AC293" s="1496">
        <v>6500860547</v>
      </c>
      <c r="AD293" s="1497">
        <f t="shared" si="327"/>
        <v>0.98073925620802382</v>
      </c>
      <c r="AE293" s="1498">
        <f>+AA293-AC293</f>
        <v>14250000</v>
      </c>
      <c r="AF293" s="1498">
        <v>101991641</v>
      </c>
      <c r="AG293" s="1499">
        <v>2218394</v>
      </c>
      <c r="AH293" s="1497">
        <f t="shared" si="328"/>
        <v>2.1750743279049703E-2</v>
      </c>
      <c r="AI293" s="1500"/>
      <c r="AJ293" s="1500"/>
      <c r="AK293" s="1501"/>
      <c r="AL293" s="1502"/>
      <c r="AM293" s="1503"/>
      <c r="AN293" s="1504"/>
      <c r="AO293" s="1505"/>
      <c r="AP293" s="1506"/>
      <c r="AQ293" s="1506"/>
    </row>
    <row r="294" spans="1:43" ht="13.5" thickBot="1" x14ac:dyDescent="0.3">
      <c r="A294" s="1890" t="s">
        <v>35</v>
      </c>
      <c r="B294" s="1891"/>
      <c r="C294" s="1166"/>
      <c r="D294" s="1166"/>
      <c r="E294" s="1166"/>
      <c r="F294" s="1166"/>
      <c r="G294" s="1166"/>
      <c r="H294" s="106">
        <f>(H8*W8)+(H56*W56)+(H99*W99)+(H146*W146)+(H211*W211)</f>
        <v>0.8806160999999999</v>
      </c>
      <c r="I294" s="521">
        <f>(I8*X8)+(I56*X56)+(I99*X99)+(I146*X146)+(I211*X211)</f>
        <v>0.78900962001159414</v>
      </c>
      <c r="J294" s="1166"/>
      <c r="K294" s="1166"/>
      <c r="L294" s="1166"/>
      <c r="M294" s="1166"/>
      <c r="N294" s="1166"/>
      <c r="O294" s="1166"/>
      <c r="P294" s="1166"/>
      <c r="Q294" s="1166"/>
      <c r="R294" s="1166"/>
      <c r="S294" s="87"/>
      <c r="T294" s="1166"/>
      <c r="U294" s="189"/>
      <c r="V294" s="106">
        <f>(V8*W8)+(V56*W56)+(V99*W99)+(V146*W146)+(V211*W211)</f>
        <v>0.44969048550614232</v>
      </c>
      <c r="W294" s="200"/>
      <c r="X294" s="87"/>
      <c r="Y294" s="199">
        <f>+Y8+Y56+Y99+Y146+Y211+Y293</f>
        <v>127060888332</v>
      </c>
      <c r="Z294" s="199">
        <f>+Z8+Z56+Z99+Z146+Z211</f>
        <v>57453493863.059998</v>
      </c>
      <c r="AA294" s="199">
        <f>+AA8+AA56+AA99+AA146+AA211+AA293</f>
        <v>95329855301.670013</v>
      </c>
      <c r="AB294" s="204">
        <f>+AA294/Y294</f>
        <v>0.75026907613443317</v>
      </c>
      <c r="AC294" s="199">
        <f>+AC8+AC56+AC99+AC146+AC211+AC293</f>
        <v>78914531319.630005</v>
      </c>
      <c r="AD294" s="174">
        <f t="shared" si="327"/>
        <v>0.62107649612391036</v>
      </c>
      <c r="AE294" s="199">
        <f>+AE8+AE56+AE99+AE146+AE211+AE293</f>
        <v>16415323982.040003</v>
      </c>
      <c r="AF294" s="199">
        <f>+AF8+AF56+AF99+AF146+AF211</f>
        <v>19867333629.449997</v>
      </c>
      <c r="AG294" s="199">
        <f>+AG8+AG56+AG99+AG146+AG211</f>
        <v>17290076415.439999</v>
      </c>
      <c r="AH294" s="174">
        <f t="shared" si="328"/>
        <v>0.87027664295174234</v>
      </c>
      <c r="AI294" s="199">
        <f>+AI8+AI56+AI99+AI146+AI211</f>
        <v>354924908891.20001</v>
      </c>
      <c r="AJ294" s="199">
        <f>+AJ8+AJ56+AJ99+AJ146+AJ211</f>
        <v>146268238617.73001</v>
      </c>
      <c r="AK294" s="174">
        <f t="shared" si="329"/>
        <v>0.41211037871271983</v>
      </c>
      <c r="AL294" s="210"/>
      <c r="AM294" s="211"/>
      <c r="AN294" s="213"/>
      <c r="AO294" s="213"/>
      <c r="AP294" s="213"/>
      <c r="AQ294" s="212"/>
    </row>
    <row r="295" spans="1:43" ht="19.5" customHeight="1" x14ac:dyDescent="0.25">
      <c r="A295" s="1892" t="s">
        <v>36</v>
      </c>
      <c r="B295" s="1892"/>
      <c r="C295" s="1892"/>
      <c r="D295" s="1892"/>
      <c r="E295" s="1892"/>
      <c r="F295" s="1892"/>
      <c r="G295" s="1892"/>
      <c r="H295" s="1892"/>
      <c r="I295" s="1892"/>
      <c r="J295" s="1892"/>
      <c r="K295" s="1892"/>
      <c r="L295" s="1892"/>
      <c r="M295" s="1892"/>
      <c r="N295" s="1892"/>
      <c r="O295" s="1892"/>
      <c r="P295" s="1892"/>
      <c r="Q295" s="1892"/>
      <c r="R295" s="1892"/>
      <c r="S295" s="1892"/>
      <c r="T295" s="1892"/>
      <c r="U295" s="1892"/>
      <c r="V295" s="1892"/>
      <c r="W295" s="1892"/>
      <c r="X295" s="1892"/>
      <c r="Y295" s="1892"/>
      <c r="Z295" s="1892"/>
      <c r="AA295" s="1892"/>
      <c r="AB295" s="1892"/>
      <c r="AC295" s="1892"/>
      <c r="AD295" s="1892"/>
      <c r="AE295" s="1892"/>
      <c r="AF295" s="1892"/>
      <c r="AG295" s="1892"/>
      <c r="AH295" s="1892"/>
      <c r="AI295" s="1892"/>
      <c r="AJ295" s="1892"/>
      <c r="AK295" s="1892"/>
      <c r="AL295" s="1893"/>
    </row>
    <row r="296" spans="1:43" hidden="1" x14ac:dyDescent="0.25">
      <c r="Y296" s="1507">
        <f>+Y294+6628530984</f>
        <v>133689419316</v>
      </c>
      <c r="AL296" s="1509"/>
    </row>
    <row r="297" spans="1:43" ht="23.25" customHeight="1" x14ac:dyDescent="0.25">
      <c r="A297" s="1510"/>
      <c r="B297" s="1510"/>
      <c r="C297" s="1510"/>
      <c r="D297" s="1510"/>
      <c r="E297" s="1510"/>
      <c r="F297" s="1510"/>
      <c r="G297" s="1510"/>
      <c r="H297" s="1510"/>
      <c r="I297" s="1510"/>
      <c r="J297" s="1510"/>
      <c r="K297" s="1511"/>
      <c r="L297" s="1511"/>
      <c r="M297" s="1511"/>
      <c r="N297" s="1511"/>
      <c r="O297" s="1511"/>
      <c r="P297" s="1511"/>
      <c r="Q297" s="1511"/>
      <c r="R297" s="1511"/>
      <c r="S297" s="1510"/>
      <c r="T297" s="1510"/>
      <c r="U297" s="1510"/>
      <c r="V297" s="1510"/>
      <c r="W297" s="1510"/>
      <c r="X297" s="1510"/>
      <c r="Y297" s="1510"/>
      <c r="Z297" s="1510"/>
      <c r="AA297" s="1510"/>
      <c r="AB297" s="1510"/>
      <c r="AC297" s="1510"/>
      <c r="AD297" s="1510"/>
      <c r="AE297" s="1512"/>
      <c r="AF297" s="1510"/>
      <c r="AG297" s="1510"/>
      <c r="AH297" s="1510"/>
      <c r="AI297" s="1510"/>
      <c r="AJ297" s="1510"/>
      <c r="AK297" s="1510"/>
    </row>
    <row r="298" spans="1:43" ht="19.5" customHeight="1" x14ac:dyDescent="0.25">
      <c r="A298" s="1885"/>
      <c r="B298" s="1885"/>
      <c r="C298" s="1511"/>
      <c r="D298" s="1511"/>
      <c r="E298" s="1511"/>
      <c r="F298" s="1511"/>
      <c r="G298" s="1511"/>
      <c r="H298" s="1511"/>
      <c r="I298" s="1511"/>
      <c r="J298" s="1511"/>
      <c r="K298" s="1511"/>
      <c r="L298" s="1511"/>
      <c r="M298" s="1511"/>
      <c r="N298" s="1511"/>
      <c r="O298" s="1511"/>
      <c r="P298" s="1511"/>
      <c r="Q298" s="1511"/>
      <c r="R298" s="1511"/>
      <c r="S298" s="1511"/>
      <c r="T298" s="1511"/>
      <c r="U298" s="1511"/>
      <c r="V298" s="1511"/>
      <c r="W298" s="1511"/>
      <c r="X298" s="1511"/>
      <c r="Y298" s="1885"/>
      <c r="Z298" s="1885"/>
      <c r="AA298" s="1885"/>
      <c r="AB298" s="1885"/>
      <c r="AC298" s="1885"/>
      <c r="AD298" s="1885"/>
      <c r="AE298" s="1885"/>
      <c r="AF298" s="1885"/>
      <c r="AG298" s="1885"/>
      <c r="AH298" s="1885"/>
      <c r="AI298" s="1885"/>
      <c r="AJ298" s="1885"/>
      <c r="AK298" s="1885"/>
    </row>
    <row r="299" spans="1:43" ht="59.25" customHeight="1" x14ac:dyDescent="0.25">
      <c r="A299" s="1894"/>
      <c r="B299" s="1894"/>
      <c r="C299" s="1511"/>
      <c r="D299" s="1511"/>
      <c r="E299" s="1511"/>
      <c r="F299" s="1511"/>
      <c r="G299" s="1511"/>
      <c r="H299" s="1511"/>
      <c r="I299" s="1511"/>
      <c r="J299" s="1513"/>
      <c r="K299" s="1513"/>
      <c r="L299" s="1513"/>
      <c r="M299" s="1513"/>
      <c r="N299" s="1513"/>
      <c r="O299" s="1513"/>
      <c r="P299" s="1513"/>
      <c r="Q299" s="1513"/>
      <c r="R299" s="1513"/>
      <c r="S299" s="1513"/>
      <c r="T299" s="1511"/>
      <c r="U299" s="1511"/>
      <c r="V299" s="1511"/>
      <c r="W299" s="1513"/>
      <c r="X299" s="1513"/>
      <c r="Y299" s="1895"/>
      <c r="Z299" s="1895"/>
      <c r="AA299" s="1895"/>
      <c r="AB299" s="1895"/>
      <c r="AC299" s="1895"/>
      <c r="AD299" s="1895"/>
      <c r="AE299" s="1895"/>
      <c r="AF299" s="1895"/>
      <c r="AG299" s="1895"/>
      <c r="AH299" s="1895"/>
      <c r="AI299" s="1895"/>
      <c r="AJ299" s="1895"/>
      <c r="AK299" s="1895"/>
    </row>
    <row r="300" spans="1:43" ht="42.75" customHeight="1" x14ac:dyDescent="0.25">
      <c r="A300" s="1894"/>
      <c r="B300" s="1894"/>
      <c r="C300" s="1511"/>
      <c r="D300" s="1511"/>
      <c r="E300" s="1511"/>
      <c r="F300" s="1511"/>
      <c r="G300" s="1511"/>
      <c r="H300" s="1511"/>
      <c r="I300" s="1511"/>
      <c r="J300" s="1513"/>
      <c r="K300" s="1513"/>
      <c r="L300" s="1513"/>
      <c r="M300" s="1513"/>
      <c r="N300" s="1513"/>
      <c r="O300" s="1513"/>
      <c r="P300" s="1513"/>
      <c r="Q300" s="1513"/>
      <c r="R300" s="1513"/>
      <c r="S300" s="1513"/>
      <c r="T300" s="1511"/>
      <c r="U300" s="1511"/>
      <c r="V300" s="1511"/>
      <c r="W300" s="1513"/>
      <c r="X300" s="1513"/>
      <c r="Y300" s="1895"/>
      <c r="Z300" s="1895"/>
      <c r="AA300" s="1895"/>
      <c r="AB300" s="1895"/>
      <c r="AC300" s="1895"/>
      <c r="AD300" s="1895"/>
      <c r="AE300" s="1895"/>
      <c r="AF300" s="1895"/>
      <c r="AG300" s="1895"/>
      <c r="AH300" s="1895"/>
      <c r="AI300" s="1895"/>
      <c r="AJ300" s="1895"/>
      <c r="AK300" s="1895"/>
    </row>
    <row r="301" spans="1:43" ht="27" customHeight="1" x14ac:dyDescent="0.25">
      <c r="A301" s="1894"/>
      <c r="B301" s="1894"/>
      <c r="C301" s="1511"/>
      <c r="D301" s="1511"/>
      <c r="E301" s="1511"/>
      <c r="F301" s="1511"/>
      <c r="G301" s="1511"/>
      <c r="H301" s="1511"/>
      <c r="I301" s="1511"/>
      <c r="J301" s="1513"/>
      <c r="K301" s="1513"/>
      <c r="L301" s="1513"/>
      <c r="M301" s="1513"/>
      <c r="N301" s="1513"/>
      <c r="O301" s="1513"/>
      <c r="P301" s="1513"/>
      <c r="Q301" s="1513"/>
      <c r="R301" s="1513"/>
      <c r="S301" s="1513"/>
      <c r="T301" s="1511"/>
      <c r="U301" s="1511"/>
      <c r="V301" s="1511"/>
      <c r="W301" s="1513"/>
      <c r="X301" s="1513"/>
      <c r="Y301" s="1895"/>
      <c r="Z301" s="1895"/>
      <c r="AA301" s="1895"/>
      <c r="AB301" s="1895"/>
      <c r="AC301" s="1895"/>
      <c r="AD301" s="1895"/>
      <c r="AE301" s="1895"/>
      <c r="AF301" s="1895"/>
      <c r="AG301" s="1895"/>
      <c r="AH301" s="1895"/>
      <c r="AI301" s="1895"/>
      <c r="AJ301" s="1895"/>
      <c r="AK301" s="1895"/>
    </row>
    <row r="302" spans="1:43" ht="40.5" customHeight="1" x14ac:dyDescent="0.25">
      <c r="A302" s="1894"/>
      <c r="B302" s="1894"/>
      <c r="C302" s="1511"/>
      <c r="D302" s="1511"/>
      <c r="E302" s="1511"/>
      <c r="F302" s="1511"/>
      <c r="G302" s="1511"/>
      <c r="H302" s="1511"/>
      <c r="I302" s="1511"/>
      <c r="J302" s="1513"/>
      <c r="K302" s="1513"/>
      <c r="L302" s="1513"/>
      <c r="M302" s="1513"/>
      <c r="N302" s="1513"/>
      <c r="O302" s="1513"/>
      <c r="P302" s="1513"/>
      <c r="Q302" s="1513"/>
      <c r="R302" s="1513"/>
      <c r="S302" s="1513"/>
      <c r="T302" s="1511"/>
      <c r="U302" s="1511"/>
      <c r="V302" s="1511"/>
      <c r="W302" s="1513"/>
      <c r="X302" s="1513"/>
      <c r="Y302" s="1895"/>
      <c r="Z302" s="1895"/>
      <c r="AA302" s="1895"/>
      <c r="AB302" s="1895"/>
      <c r="AC302" s="1895"/>
      <c r="AD302" s="1895"/>
      <c r="AE302" s="1895"/>
      <c r="AF302" s="1895"/>
      <c r="AG302" s="1895"/>
      <c r="AH302" s="1895"/>
      <c r="AI302" s="1895"/>
      <c r="AJ302" s="1895"/>
      <c r="AK302" s="1895"/>
    </row>
    <row r="303" spans="1:43" ht="35.25" customHeight="1" x14ac:dyDescent="0.25">
      <c r="A303" s="1894"/>
      <c r="B303" s="1894"/>
      <c r="C303" s="1511"/>
      <c r="D303" s="1511"/>
      <c r="E303" s="1511"/>
      <c r="F303" s="1511"/>
      <c r="G303" s="1511"/>
      <c r="H303" s="1511"/>
      <c r="I303" s="1511"/>
      <c r="J303" s="1513"/>
      <c r="K303" s="1513"/>
      <c r="L303" s="1513"/>
      <c r="M303" s="1513"/>
      <c r="N303" s="1513"/>
      <c r="O303" s="1513"/>
      <c r="P303" s="1513"/>
      <c r="Q303" s="1513"/>
      <c r="R303" s="1513"/>
      <c r="S303" s="1513"/>
      <c r="T303" s="1511"/>
      <c r="U303" s="1511"/>
      <c r="V303" s="1511"/>
      <c r="W303" s="1513"/>
      <c r="X303" s="1513"/>
      <c r="Y303" s="1895"/>
      <c r="Z303" s="1895"/>
      <c r="AA303" s="1895"/>
      <c r="AB303" s="1895"/>
      <c r="AC303" s="1895"/>
      <c r="AD303" s="1895"/>
      <c r="AE303" s="1895"/>
      <c r="AF303" s="1895"/>
      <c r="AG303" s="1895"/>
      <c r="AH303" s="1895"/>
      <c r="AI303" s="1895"/>
      <c r="AJ303" s="1895"/>
      <c r="AK303" s="1895"/>
    </row>
    <row r="304" spans="1:43" ht="41.25" customHeight="1" x14ac:dyDescent="0.25">
      <c r="A304" s="1894"/>
      <c r="B304" s="1894"/>
      <c r="C304" s="1511"/>
      <c r="D304" s="1511"/>
      <c r="E304" s="1511"/>
      <c r="F304" s="1511"/>
      <c r="G304" s="1511"/>
      <c r="H304" s="1511"/>
      <c r="I304" s="1511"/>
      <c r="J304" s="1513"/>
      <c r="K304" s="1513"/>
      <c r="L304" s="1513"/>
      <c r="M304" s="1513"/>
      <c r="N304" s="1513"/>
      <c r="O304" s="1513"/>
      <c r="P304" s="1513"/>
      <c r="Q304" s="1513"/>
      <c r="R304" s="1513"/>
      <c r="S304" s="1513"/>
      <c r="T304" s="1511"/>
      <c r="U304" s="1511"/>
      <c r="V304" s="1511"/>
      <c r="W304" s="1513"/>
      <c r="X304" s="1513"/>
      <c r="Y304" s="1895"/>
      <c r="Z304" s="1895"/>
      <c r="AA304" s="1895"/>
      <c r="AB304" s="1895"/>
      <c r="AC304" s="1895"/>
      <c r="AD304" s="1895"/>
      <c r="AE304" s="1895"/>
      <c r="AF304" s="1895"/>
      <c r="AG304" s="1895"/>
      <c r="AH304" s="1895"/>
      <c r="AI304" s="1895"/>
      <c r="AJ304" s="1895"/>
      <c r="AK304" s="1895"/>
    </row>
    <row r="305" spans="1:37" ht="39" customHeight="1" x14ac:dyDescent="0.25">
      <c r="A305" s="1894"/>
      <c r="B305" s="1894"/>
      <c r="C305" s="1511"/>
      <c r="D305" s="1511"/>
      <c r="E305" s="1511"/>
      <c r="F305" s="1511"/>
      <c r="G305" s="1511"/>
      <c r="H305" s="1511"/>
      <c r="I305" s="1511"/>
      <c r="J305" s="1513"/>
      <c r="K305" s="1513"/>
      <c r="L305" s="1513"/>
      <c r="M305" s="1513"/>
      <c r="N305" s="1513"/>
      <c r="O305" s="1513"/>
      <c r="P305" s="1513"/>
      <c r="Q305" s="1513"/>
      <c r="R305" s="1513"/>
      <c r="S305" s="1513"/>
      <c r="T305" s="1511"/>
      <c r="U305" s="1511"/>
      <c r="V305" s="1511"/>
      <c r="W305" s="1513"/>
      <c r="X305" s="1513"/>
      <c r="Y305" s="1895"/>
      <c r="Z305" s="1895"/>
      <c r="AA305" s="1895"/>
      <c r="AB305" s="1895"/>
      <c r="AC305" s="1895"/>
      <c r="AD305" s="1895"/>
      <c r="AE305" s="1895"/>
      <c r="AF305" s="1895"/>
      <c r="AG305" s="1895"/>
      <c r="AH305" s="1895"/>
      <c r="AI305" s="1895"/>
      <c r="AJ305" s="1895"/>
      <c r="AK305" s="1895"/>
    </row>
    <row r="306" spans="1:37" ht="81" customHeight="1" x14ac:dyDescent="0.25">
      <c r="A306" s="1894"/>
      <c r="B306" s="1894"/>
      <c r="C306" s="1511"/>
      <c r="D306" s="1511"/>
      <c r="E306" s="1511"/>
      <c r="F306" s="1511"/>
      <c r="G306" s="1511"/>
      <c r="H306" s="1511"/>
      <c r="I306" s="1511"/>
      <c r="J306" s="1513"/>
      <c r="K306" s="1513"/>
      <c r="L306" s="1513"/>
      <c r="M306" s="1513"/>
      <c r="N306" s="1513"/>
      <c r="O306" s="1513"/>
      <c r="P306" s="1513"/>
      <c r="Q306" s="1513"/>
      <c r="R306" s="1513"/>
      <c r="S306" s="1513"/>
      <c r="T306" s="1511"/>
      <c r="U306" s="1511"/>
      <c r="V306" s="1511"/>
      <c r="W306" s="1513"/>
      <c r="X306" s="1513"/>
      <c r="Y306" s="1895"/>
      <c r="Z306" s="1895"/>
      <c r="AA306" s="1895"/>
      <c r="AB306" s="1895"/>
      <c r="AC306" s="1895"/>
      <c r="AD306" s="1895"/>
      <c r="AE306" s="1895"/>
      <c r="AF306" s="1895"/>
      <c r="AG306" s="1895"/>
      <c r="AH306" s="1895"/>
      <c r="AI306" s="1895"/>
      <c r="AJ306" s="1895"/>
      <c r="AK306" s="1895"/>
    </row>
    <row r="307" spans="1:37" ht="33.75" customHeight="1" x14ac:dyDescent="0.25">
      <c r="A307" s="1894"/>
      <c r="B307" s="1894"/>
      <c r="C307" s="1511"/>
      <c r="D307" s="1511"/>
      <c r="E307" s="1511"/>
      <c r="F307" s="1511"/>
      <c r="G307" s="1511"/>
      <c r="H307" s="1511"/>
      <c r="I307" s="1511"/>
      <c r="J307" s="1513"/>
      <c r="K307" s="1513"/>
      <c r="L307" s="1513"/>
      <c r="M307" s="1513"/>
      <c r="N307" s="1513"/>
      <c r="O307" s="1513"/>
      <c r="P307" s="1513"/>
      <c r="Q307" s="1513"/>
      <c r="R307" s="1513"/>
      <c r="S307" s="1513"/>
      <c r="T307" s="1511"/>
      <c r="U307" s="1511"/>
      <c r="V307" s="1511"/>
      <c r="W307" s="1513"/>
      <c r="X307" s="1513"/>
      <c r="Y307" s="1895"/>
      <c r="Z307" s="1895"/>
      <c r="AA307" s="1895"/>
      <c r="AB307" s="1895"/>
      <c r="AC307" s="1895"/>
      <c r="AD307" s="1895"/>
      <c r="AE307" s="1895"/>
      <c r="AF307" s="1895"/>
      <c r="AG307" s="1895"/>
      <c r="AH307" s="1895"/>
      <c r="AI307" s="1895"/>
      <c r="AJ307" s="1895"/>
      <c r="AK307" s="1895"/>
    </row>
    <row r="308" spans="1:37" ht="147.75" customHeight="1" x14ac:dyDescent="0.25">
      <c r="A308" s="1894"/>
      <c r="B308" s="1894"/>
      <c r="C308" s="1511"/>
      <c r="D308" s="1511"/>
      <c r="E308" s="1511"/>
      <c r="F308" s="1511"/>
      <c r="G308" s="1511"/>
      <c r="H308" s="1511"/>
      <c r="I308" s="1511"/>
      <c r="J308" s="1513"/>
      <c r="K308" s="1513"/>
      <c r="L308" s="1513"/>
      <c r="M308" s="1513"/>
      <c r="N308" s="1513"/>
      <c r="O308" s="1513"/>
      <c r="P308" s="1513"/>
      <c r="Q308" s="1513"/>
      <c r="R308" s="1513"/>
      <c r="S308" s="1513"/>
      <c r="T308" s="1511"/>
      <c r="U308" s="1511"/>
      <c r="V308" s="1511"/>
      <c r="W308" s="1513"/>
      <c r="X308" s="1513"/>
      <c r="Y308" s="1895"/>
      <c r="Z308" s="1895"/>
      <c r="AA308" s="1895"/>
      <c r="AB308" s="1895"/>
      <c r="AC308" s="1895"/>
      <c r="AD308" s="1895"/>
      <c r="AE308" s="1895"/>
      <c r="AF308" s="1895"/>
      <c r="AG308" s="1895"/>
      <c r="AH308" s="1895"/>
      <c r="AI308" s="1895"/>
      <c r="AJ308" s="1895"/>
      <c r="AK308" s="1895"/>
    </row>
    <row r="309" spans="1:37" ht="36" customHeight="1" x14ac:dyDescent="0.25">
      <c r="A309" s="1894"/>
      <c r="B309" s="1894"/>
      <c r="C309" s="1511"/>
      <c r="D309" s="1511"/>
      <c r="E309" s="1511"/>
      <c r="F309" s="1511"/>
      <c r="G309" s="1511"/>
      <c r="H309" s="1511"/>
      <c r="I309" s="1511"/>
      <c r="J309" s="1513"/>
      <c r="K309" s="1513"/>
      <c r="L309" s="1513"/>
      <c r="M309" s="1513"/>
      <c r="N309" s="1513"/>
      <c r="O309" s="1513"/>
      <c r="P309" s="1513"/>
      <c r="Q309" s="1513"/>
      <c r="R309" s="1513"/>
      <c r="S309" s="1513"/>
      <c r="T309" s="1511"/>
      <c r="U309" s="1511"/>
      <c r="V309" s="1511"/>
      <c r="W309" s="1513"/>
      <c r="X309" s="1513"/>
      <c r="Y309" s="1895"/>
      <c r="Z309" s="1895"/>
      <c r="AA309" s="1895"/>
      <c r="AB309" s="1895"/>
      <c r="AC309" s="1895"/>
      <c r="AD309" s="1895"/>
      <c r="AE309" s="1895"/>
      <c r="AF309" s="1895"/>
      <c r="AG309" s="1895"/>
      <c r="AH309" s="1895"/>
      <c r="AI309" s="1895"/>
      <c r="AJ309" s="1895"/>
      <c r="AK309" s="1895"/>
    </row>
    <row r="310" spans="1:37" ht="82.5" customHeight="1" x14ac:dyDescent="0.25">
      <c r="A310" s="1894"/>
      <c r="B310" s="1894"/>
      <c r="C310" s="1511"/>
      <c r="D310" s="1511"/>
      <c r="E310" s="1511"/>
      <c r="F310" s="1511"/>
      <c r="G310" s="1511"/>
      <c r="H310" s="1511"/>
      <c r="I310" s="1511"/>
      <c r="J310" s="1513"/>
      <c r="K310" s="1513"/>
      <c r="L310" s="1513"/>
      <c r="M310" s="1513"/>
      <c r="N310" s="1513"/>
      <c r="O310" s="1513"/>
      <c r="P310" s="1513"/>
      <c r="Q310" s="1513"/>
      <c r="R310" s="1513"/>
      <c r="S310" s="1513"/>
      <c r="T310" s="1511"/>
      <c r="U310" s="1511"/>
      <c r="V310" s="1511"/>
      <c r="W310" s="1513"/>
      <c r="X310" s="1513"/>
      <c r="Y310" s="1895"/>
      <c r="Z310" s="1895"/>
      <c r="AA310" s="1895"/>
      <c r="AB310" s="1895"/>
      <c r="AC310" s="1895"/>
      <c r="AD310" s="1895"/>
      <c r="AE310" s="1895"/>
      <c r="AF310" s="1895"/>
      <c r="AG310" s="1895"/>
      <c r="AH310" s="1895"/>
      <c r="AI310" s="1895"/>
      <c r="AJ310" s="1895"/>
      <c r="AK310" s="1895"/>
    </row>
    <row r="311" spans="1:37" ht="22.5" customHeight="1" x14ac:dyDescent="0.25">
      <c r="A311" s="1894"/>
      <c r="B311" s="1893"/>
      <c r="C311" s="1893"/>
      <c r="D311" s="1893"/>
      <c r="E311" s="1893"/>
      <c r="F311" s="1893"/>
      <c r="G311" s="1893"/>
      <c r="H311" s="1893"/>
      <c r="I311" s="1893"/>
      <c r="J311" s="1893"/>
      <c r="K311" s="1893"/>
      <c r="L311" s="1893"/>
      <c r="M311" s="1893"/>
      <c r="N311" s="1893"/>
      <c r="O311" s="1893"/>
      <c r="P311" s="1893"/>
      <c r="Q311" s="1893"/>
      <c r="R311" s="1893"/>
      <c r="S311" s="1893"/>
      <c r="T311" s="1893"/>
      <c r="U311" s="1893"/>
      <c r="V311" s="1893"/>
      <c r="W311" s="1893"/>
      <c r="X311" s="1893"/>
      <c r="Y311" s="1893"/>
      <c r="Z311" s="1893"/>
      <c r="AA311" s="1893"/>
      <c r="AB311" s="1893"/>
      <c r="AC311" s="1893"/>
      <c r="AD311" s="1893"/>
      <c r="AE311" s="1893"/>
      <c r="AF311" s="1893"/>
      <c r="AG311" s="1893"/>
      <c r="AH311" s="1893"/>
      <c r="AI311" s="1893"/>
      <c r="AJ311" s="1893"/>
      <c r="AK311" s="1893"/>
    </row>
  </sheetData>
  <sheetProtection algorithmName="SHA-512" hashValue="QQVG07R60GavbIDwLz+qTJc1vmNlIdLwTN48wVg963v8g0r0gUDZihK8/tr0QCPmIAmENC3mNJeJIkdnhIAMkg==" saltValue="Bv+cC08PnzFSSOdQhM52EQ==" spinCount="100000" sheet="1" objects="1" scenarios="1"/>
  <mergeCells count="100">
    <mergeCell ref="A311:AK311"/>
    <mergeCell ref="A308:B308"/>
    <mergeCell ref="Y308:AK308"/>
    <mergeCell ref="A309:B309"/>
    <mergeCell ref="Y309:AK309"/>
    <mergeCell ref="A310:B310"/>
    <mergeCell ref="Y310:AK310"/>
    <mergeCell ref="A305:B305"/>
    <mergeCell ref="Y305:AK305"/>
    <mergeCell ref="A306:B306"/>
    <mergeCell ref="Y306:AK306"/>
    <mergeCell ref="A307:B307"/>
    <mergeCell ref="Y307:AK307"/>
    <mergeCell ref="A302:B302"/>
    <mergeCell ref="Y302:AK302"/>
    <mergeCell ref="A303:B303"/>
    <mergeCell ref="Y303:AK303"/>
    <mergeCell ref="A304:B304"/>
    <mergeCell ref="Y304:AK304"/>
    <mergeCell ref="A299:B299"/>
    <mergeCell ref="Y299:AK299"/>
    <mergeCell ref="A300:B300"/>
    <mergeCell ref="Y300:AK300"/>
    <mergeCell ref="A301:B301"/>
    <mergeCell ref="Y301:AK301"/>
    <mergeCell ref="A298:B298"/>
    <mergeCell ref="Y298:AK298"/>
    <mergeCell ref="AO169:AO172"/>
    <mergeCell ref="AO181:AO182"/>
    <mergeCell ref="AO204:AO205"/>
    <mergeCell ref="AO221:AO225"/>
    <mergeCell ref="AO235:AO237"/>
    <mergeCell ref="AO241:AO243"/>
    <mergeCell ref="AO254:AO255"/>
    <mergeCell ref="AO262:AO265"/>
    <mergeCell ref="AO274:AO276"/>
    <mergeCell ref="A294:B294"/>
    <mergeCell ref="A295:AL295"/>
    <mergeCell ref="AO136:AO139"/>
    <mergeCell ref="AO41:AO43"/>
    <mergeCell ref="AO47:AO48"/>
    <mergeCell ref="AO54:AO55"/>
    <mergeCell ref="AO90:AO91"/>
    <mergeCell ref="AO93:AO96"/>
    <mergeCell ref="AO102:AO104"/>
    <mergeCell ref="AO108:AO110"/>
    <mergeCell ref="AO115:AO116"/>
    <mergeCell ref="AO122:AO123"/>
    <mergeCell ref="AO126:AO127"/>
    <mergeCell ref="AO130:AO131"/>
    <mergeCell ref="AE6:AE7"/>
    <mergeCell ref="AO39:AO40"/>
    <mergeCell ref="AG6:AG7"/>
    <mergeCell ref="AH6:AH7"/>
    <mergeCell ref="AI6:AI7"/>
    <mergeCell ref="AJ6:AJ7"/>
    <mergeCell ref="AK6:AK7"/>
    <mergeCell ref="AO11:AO12"/>
    <mergeCell ref="AO13:AO15"/>
    <mergeCell ref="AO16:AO18"/>
    <mergeCell ref="AO24:AO25"/>
    <mergeCell ref="AO27:AO30"/>
    <mergeCell ref="AO34:AO35"/>
    <mergeCell ref="Y6:Y7"/>
    <mergeCell ref="Z6:AA6"/>
    <mergeCell ref="AB6:AB7"/>
    <mergeCell ref="AC6:AC7"/>
    <mergeCell ref="AD6:AD7"/>
    <mergeCell ref="AP5:AP7"/>
    <mergeCell ref="AQ5:AQ7"/>
    <mergeCell ref="B6:B7"/>
    <mergeCell ref="C6:D6"/>
    <mergeCell ref="E6:F6"/>
    <mergeCell ref="H6:I6"/>
    <mergeCell ref="J6:J7"/>
    <mergeCell ref="K6:K7"/>
    <mergeCell ref="L6:L7"/>
    <mergeCell ref="M6:M7"/>
    <mergeCell ref="N6:N7"/>
    <mergeCell ref="O6:O7"/>
    <mergeCell ref="P6:P7"/>
    <mergeCell ref="Q6:Q7"/>
    <mergeCell ref="R6:R7"/>
    <mergeCell ref="AF6:AF7"/>
    <mergeCell ref="A1:AO1"/>
    <mergeCell ref="A2:AO2"/>
    <mergeCell ref="A3:AO3"/>
    <mergeCell ref="A5:A7"/>
    <mergeCell ref="B5:X5"/>
    <mergeCell ref="Y5:AK5"/>
    <mergeCell ref="AL5:AL7"/>
    <mergeCell ref="AM5:AM7"/>
    <mergeCell ref="AN5:AN7"/>
    <mergeCell ref="AO5:AO7"/>
    <mergeCell ref="S6:S7"/>
    <mergeCell ref="T6:T7"/>
    <mergeCell ref="U6:U7"/>
    <mergeCell ref="V6:V7"/>
    <mergeCell ref="W6:W7"/>
    <mergeCell ref="X6:X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Q313"/>
  <sheetViews>
    <sheetView topLeftCell="B286" zoomScale="70" zoomScaleNormal="70" zoomScaleSheetLayoutView="75" workbookViewId="0">
      <selection activeCell="H296" sqref="H296"/>
    </sheetView>
  </sheetViews>
  <sheetFormatPr baseColWidth="10" defaultColWidth="11.42578125" defaultRowHeight="12.75" x14ac:dyDescent="0.25"/>
  <cols>
    <col min="1" max="1" width="74" style="5" customWidth="1"/>
    <col min="2" max="2" width="24.140625" style="5" customWidth="1"/>
    <col min="3" max="3" width="13" style="93" customWidth="1"/>
    <col min="4" max="4" width="12.28515625" style="93" customWidth="1"/>
    <col min="5" max="6" width="12.7109375" style="93" customWidth="1"/>
    <col min="7" max="7" width="16.140625" style="93" customWidth="1"/>
    <col min="8" max="8" width="15.7109375" style="93" customWidth="1"/>
    <col min="9" max="9" width="16.28515625" style="93" customWidth="1"/>
    <col min="10" max="10" width="92.5703125" style="5" customWidth="1"/>
    <col min="11" max="11" width="26.140625" style="5" hidden="1" customWidth="1"/>
    <col min="12" max="18" width="20.85546875" style="5" hidden="1" customWidth="1"/>
    <col min="19" max="19" width="19.140625" style="5" hidden="1" customWidth="1"/>
    <col min="20" max="20" width="19.42578125" style="93" customWidth="1"/>
    <col min="21" max="21" width="15.5703125" style="93" customWidth="1"/>
    <col min="22" max="22" width="18" style="93" customWidth="1"/>
    <col min="23" max="23" width="18" style="5" customWidth="1"/>
    <col min="24" max="24" width="21" style="5" customWidth="1"/>
    <col min="25" max="25" width="30.28515625" style="5" customWidth="1"/>
    <col min="26" max="26" width="25.7109375" style="5" customWidth="1"/>
    <col min="27" max="27" width="28.140625" style="5" customWidth="1"/>
    <col min="28" max="28" width="19.28515625" style="205" customWidth="1"/>
    <col min="29" max="29" width="27.42578125" style="5" customWidth="1"/>
    <col min="30" max="30" width="20.85546875" style="93" customWidth="1"/>
    <col min="31" max="31" width="30.5703125" style="5" customWidth="1"/>
    <col min="32" max="32" width="27.85546875" style="5" customWidth="1"/>
    <col min="33" max="33" width="25.5703125" style="5" customWidth="1"/>
    <col min="34" max="34" width="16" style="5" customWidth="1"/>
    <col min="35" max="35" width="30.7109375" style="5" customWidth="1"/>
    <col min="36" max="36" width="31.85546875" style="5" customWidth="1"/>
    <col min="37" max="37" width="22.140625" style="5" customWidth="1"/>
    <col min="38" max="38" width="25" style="5" customWidth="1"/>
    <col min="39" max="39" width="23" style="5" customWidth="1"/>
    <col min="40" max="40" width="39.140625" style="5" customWidth="1"/>
    <col min="41" max="41" width="20.42578125" style="5" customWidth="1"/>
    <col min="42" max="43" width="11.42578125" style="5" customWidth="1"/>
    <col min="44" max="16384" width="11.42578125" style="5"/>
  </cols>
  <sheetData>
    <row r="1" spans="1:43" ht="81.75" customHeight="1" thickBot="1" x14ac:dyDescent="0.3">
      <c r="A1" s="1817"/>
      <c r="B1" s="1818"/>
      <c r="C1" s="1818"/>
      <c r="D1" s="1818"/>
      <c r="E1" s="1818"/>
      <c r="F1" s="1818"/>
      <c r="G1" s="1818"/>
      <c r="H1" s="1818"/>
      <c r="I1" s="1818"/>
      <c r="J1" s="1818"/>
      <c r="K1" s="1818"/>
      <c r="L1" s="1818"/>
      <c r="M1" s="1818"/>
      <c r="N1" s="1818"/>
      <c r="O1" s="1818"/>
      <c r="P1" s="1818"/>
      <c r="Q1" s="1818"/>
      <c r="R1" s="1818"/>
      <c r="S1" s="1818"/>
      <c r="T1" s="1818"/>
      <c r="U1" s="1818"/>
      <c r="V1" s="1818"/>
      <c r="W1" s="1818"/>
      <c r="X1" s="1818"/>
      <c r="Y1" s="1818"/>
      <c r="Z1" s="1818"/>
      <c r="AA1" s="1818"/>
      <c r="AB1" s="1818"/>
      <c r="AC1" s="1818"/>
      <c r="AD1" s="1818"/>
      <c r="AE1" s="1818"/>
      <c r="AF1" s="1818"/>
      <c r="AG1" s="1818"/>
      <c r="AH1" s="1818"/>
      <c r="AI1" s="1818"/>
      <c r="AJ1" s="1818"/>
      <c r="AK1" s="1818"/>
      <c r="AL1" s="1818"/>
      <c r="AM1" s="1818"/>
      <c r="AN1" s="1818"/>
      <c r="AO1" s="1819"/>
    </row>
    <row r="2" spans="1:43" s="6" customFormat="1" ht="26.25" customHeight="1" x14ac:dyDescent="0.25">
      <c r="A2" s="1820" t="str">
        <f>+'Datos Generales'!C5</f>
        <v>Corporación Autónoma Regional del Atlántico – CRA</v>
      </c>
      <c r="B2" s="1821"/>
      <c r="C2" s="1821"/>
      <c r="D2" s="1821"/>
      <c r="E2" s="1821"/>
      <c r="F2" s="1821"/>
      <c r="G2" s="1821"/>
      <c r="H2" s="1821"/>
      <c r="I2" s="1821"/>
      <c r="J2" s="1821"/>
      <c r="K2" s="1821"/>
      <c r="L2" s="1821"/>
      <c r="M2" s="1821"/>
      <c r="N2" s="1821"/>
      <c r="O2" s="1821"/>
      <c r="P2" s="1821"/>
      <c r="Q2" s="1821"/>
      <c r="R2" s="1821"/>
      <c r="S2" s="1821"/>
      <c r="T2" s="1821"/>
      <c r="U2" s="1821"/>
      <c r="V2" s="1821"/>
      <c r="W2" s="1821"/>
      <c r="X2" s="1821"/>
      <c r="Y2" s="1821"/>
      <c r="Z2" s="1821"/>
      <c r="AA2" s="1821"/>
      <c r="AB2" s="1821"/>
      <c r="AC2" s="1821"/>
      <c r="AD2" s="1821"/>
      <c r="AE2" s="1821"/>
      <c r="AF2" s="1821"/>
      <c r="AG2" s="1821"/>
      <c r="AH2" s="1821"/>
      <c r="AI2" s="1821"/>
      <c r="AJ2" s="1821"/>
      <c r="AK2" s="1821"/>
      <c r="AL2" s="1821"/>
      <c r="AM2" s="1821"/>
      <c r="AN2" s="1821"/>
      <c r="AO2" s="1822"/>
    </row>
    <row r="3" spans="1:43" s="6" customFormat="1" ht="18.75" customHeight="1" thickBot="1" x14ac:dyDescent="0.3">
      <c r="A3" s="1823" t="s">
        <v>100</v>
      </c>
      <c r="B3" s="1824"/>
      <c r="C3" s="1824"/>
      <c r="D3" s="1824"/>
      <c r="E3" s="1824"/>
      <c r="F3" s="1824"/>
      <c r="G3" s="1824"/>
      <c r="H3" s="1824"/>
      <c r="I3" s="1824"/>
      <c r="J3" s="1824"/>
      <c r="K3" s="1824"/>
      <c r="L3" s="1824"/>
      <c r="M3" s="1824"/>
      <c r="N3" s="1824"/>
      <c r="O3" s="1824"/>
      <c r="P3" s="1824"/>
      <c r="Q3" s="1824"/>
      <c r="R3" s="1824"/>
      <c r="S3" s="1824"/>
      <c r="T3" s="1824"/>
      <c r="U3" s="1824"/>
      <c r="V3" s="1824"/>
      <c r="W3" s="1824"/>
      <c r="X3" s="1824"/>
      <c r="Y3" s="1824"/>
      <c r="Z3" s="1824"/>
      <c r="AA3" s="1824"/>
      <c r="AB3" s="1824"/>
      <c r="AC3" s="1824"/>
      <c r="AD3" s="1824"/>
      <c r="AE3" s="1824"/>
      <c r="AF3" s="1824"/>
      <c r="AG3" s="1824"/>
      <c r="AH3" s="1824"/>
      <c r="AI3" s="1824"/>
      <c r="AJ3" s="1824"/>
      <c r="AK3" s="1824"/>
      <c r="AL3" s="1824"/>
      <c r="AM3" s="1824"/>
      <c r="AN3" s="1824"/>
      <c r="AO3" s="1825"/>
    </row>
    <row r="4" spans="1:43" s="6" customFormat="1" ht="46.5" customHeight="1" thickBot="1" x14ac:dyDescent="0.3">
      <c r="A4" s="134" t="s">
        <v>101</v>
      </c>
      <c r="B4" s="135" t="str">
        <f>'Datos Generales'!C6</f>
        <v>2021-II</v>
      </c>
      <c r="C4" s="136"/>
      <c r="D4" s="136"/>
      <c r="E4" s="136"/>
      <c r="F4" s="136"/>
      <c r="G4" s="136"/>
      <c r="H4" s="136"/>
      <c r="I4" s="136"/>
      <c r="J4" s="135"/>
      <c r="K4" s="135"/>
      <c r="L4" s="135"/>
      <c r="M4" s="135"/>
      <c r="N4" s="135"/>
      <c r="O4" s="135"/>
      <c r="P4" s="135"/>
      <c r="Q4" s="135"/>
      <c r="R4" s="135"/>
      <c r="S4" s="135"/>
      <c r="T4" s="136"/>
      <c r="U4" s="136"/>
      <c r="V4" s="136"/>
      <c r="W4" s="135"/>
      <c r="X4" s="135"/>
      <c r="Y4" s="135"/>
      <c r="Z4" s="135"/>
      <c r="AA4" s="135"/>
      <c r="AB4" s="203"/>
      <c r="AC4" s="135"/>
      <c r="AD4" s="136"/>
      <c r="AE4" s="135"/>
      <c r="AF4" s="135"/>
      <c r="AG4" s="135"/>
      <c r="AH4" s="135"/>
      <c r="AI4" s="135"/>
      <c r="AJ4" s="135"/>
      <c r="AK4" s="562"/>
      <c r="AL4" s="135"/>
      <c r="AM4" s="135"/>
      <c r="AN4" s="135"/>
      <c r="AO4" s="137"/>
    </row>
    <row r="5" spans="1:43" ht="53.25" customHeight="1" thickBot="1" x14ac:dyDescent="0.3">
      <c r="A5" s="1826" t="s">
        <v>369</v>
      </c>
      <c r="B5" s="1829" t="s">
        <v>32</v>
      </c>
      <c r="C5" s="1830"/>
      <c r="D5" s="1830"/>
      <c r="E5" s="1830"/>
      <c r="F5" s="1830"/>
      <c r="G5" s="1830"/>
      <c r="H5" s="1830"/>
      <c r="I5" s="1830"/>
      <c r="J5" s="1830"/>
      <c r="K5" s="1830"/>
      <c r="L5" s="1830"/>
      <c r="M5" s="1830"/>
      <c r="N5" s="1830"/>
      <c r="O5" s="1830"/>
      <c r="P5" s="1830"/>
      <c r="Q5" s="1830"/>
      <c r="R5" s="1830"/>
      <c r="S5" s="1830"/>
      <c r="T5" s="1830"/>
      <c r="U5" s="1831"/>
      <c r="V5" s="1831"/>
      <c r="W5" s="1831"/>
      <c r="X5" s="1831"/>
      <c r="Y5" s="1832"/>
      <c r="Z5" s="1832"/>
      <c r="AA5" s="1832"/>
      <c r="AB5" s="1832"/>
      <c r="AC5" s="1832"/>
      <c r="AD5" s="1832"/>
      <c r="AE5" s="1832"/>
      <c r="AF5" s="1832"/>
      <c r="AG5" s="1832"/>
      <c r="AH5" s="1832"/>
      <c r="AI5" s="1832"/>
      <c r="AJ5" s="1832"/>
      <c r="AK5" s="1832"/>
      <c r="AL5" s="1826" t="s">
        <v>364</v>
      </c>
      <c r="AM5" s="1835" t="s">
        <v>365</v>
      </c>
      <c r="AN5" s="1838" t="s">
        <v>366</v>
      </c>
      <c r="AO5" s="1911" t="s">
        <v>1128</v>
      </c>
      <c r="AP5" s="1908" t="s">
        <v>327</v>
      </c>
      <c r="AQ5" s="1908" t="s">
        <v>334</v>
      </c>
    </row>
    <row r="6" spans="1:43" s="93" customFormat="1" ht="112.5" customHeight="1" thickBot="1" x14ac:dyDescent="0.3">
      <c r="A6" s="1827"/>
      <c r="B6" s="1844" t="s">
        <v>336</v>
      </c>
      <c r="C6" s="1858" t="s">
        <v>335</v>
      </c>
      <c r="D6" s="1859"/>
      <c r="E6" s="1860" t="s">
        <v>318</v>
      </c>
      <c r="F6" s="1859"/>
      <c r="G6" s="138" t="s">
        <v>317</v>
      </c>
      <c r="H6" s="1860" t="s">
        <v>33</v>
      </c>
      <c r="I6" s="1859"/>
      <c r="J6" s="1844" t="s">
        <v>34</v>
      </c>
      <c r="K6" s="1938" t="s">
        <v>343</v>
      </c>
      <c r="L6" s="1861" t="s">
        <v>344</v>
      </c>
      <c r="M6" s="1861" t="s">
        <v>345</v>
      </c>
      <c r="N6" s="1861" t="s">
        <v>346</v>
      </c>
      <c r="O6" s="1861" t="s">
        <v>347</v>
      </c>
      <c r="P6" s="1861" t="s">
        <v>348</v>
      </c>
      <c r="Q6" s="1861" t="s">
        <v>349</v>
      </c>
      <c r="R6" s="1861" t="s">
        <v>350</v>
      </c>
      <c r="S6" s="1844" t="s">
        <v>351</v>
      </c>
      <c r="T6" s="1846" t="s">
        <v>352</v>
      </c>
      <c r="U6" s="1846" t="s">
        <v>353</v>
      </c>
      <c r="V6" s="1849" t="s">
        <v>412</v>
      </c>
      <c r="W6" s="1851" t="s">
        <v>420</v>
      </c>
      <c r="X6" s="1853" t="s">
        <v>421</v>
      </c>
      <c r="Y6" s="1865" t="s">
        <v>355</v>
      </c>
      <c r="Z6" s="1867" t="s">
        <v>356</v>
      </c>
      <c r="AA6" s="1868"/>
      <c r="AB6" s="1863" t="s">
        <v>419</v>
      </c>
      <c r="AC6" s="1863" t="s">
        <v>357</v>
      </c>
      <c r="AD6" s="1863" t="s">
        <v>1097</v>
      </c>
      <c r="AE6" s="1863" t="s">
        <v>358</v>
      </c>
      <c r="AF6" s="1863" t="s">
        <v>359</v>
      </c>
      <c r="AG6" s="1863" t="s">
        <v>360</v>
      </c>
      <c r="AH6" s="1863" t="s">
        <v>361</v>
      </c>
      <c r="AI6" s="1914" t="s">
        <v>362</v>
      </c>
      <c r="AJ6" s="1871" t="s">
        <v>403</v>
      </c>
      <c r="AK6" s="1914" t="s">
        <v>363</v>
      </c>
      <c r="AL6" s="1833"/>
      <c r="AM6" s="1836"/>
      <c r="AN6" s="1839"/>
      <c r="AO6" s="1912"/>
      <c r="AP6" s="1909"/>
      <c r="AQ6" s="1909"/>
    </row>
    <row r="7" spans="1:43" ht="36" customHeight="1" thickBot="1" x14ac:dyDescent="0.3">
      <c r="A7" s="1828"/>
      <c r="B7" s="1845"/>
      <c r="C7" s="180">
        <v>2020</v>
      </c>
      <c r="D7" s="139">
        <v>2021</v>
      </c>
      <c r="E7" s="139">
        <v>2020</v>
      </c>
      <c r="F7" s="139">
        <v>2021</v>
      </c>
      <c r="G7" s="139">
        <v>2020</v>
      </c>
      <c r="H7" s="139">
        <v>2020</v>
      </c>
      <c r="I7" s="139">
        <v>2021</v>
      </c>
      <c r="J7" s="1845"/>
      <c r="K7" s="1939"/>
      <c r="L7" s="1862"/>
      <c r="M7" s="1862"/>
      <c r="N7" s="1862"/>
      <c r="O7" s="1862"/>
      <c r="P7" s="1862"/>
      <c r="Q7" s="1862"/>
      <c r="R7" s="1862"/>
      <c r="S7" s="1845"/>
      <c r="T7" s="1847"/>
      <c r="U7" s="1848"/>
      <c r="V7" s="1850"/>
      <c r="W7" s="1852"/>
      <c r="X7" s="1854"/>
      <c r="Y7" s="1866"/>
      <c r="Z7" s="218">
        <v>2020</v>
      </c>
      <c r="AA7" s="214">
        <v>2021</v>
      </c>
      <c r="AB7" s="1864"/>
      <c r="AC7" s="1864"/>
      <c r="AD7" s="1864"/>
      <c r="AE7" s="1864"/>
      <c r="AF7" s="1864"/>
      <c r="AG7" s="1864"/>
      <c r="AH7" s="1864"/>
      <c r="AI7" s="1915"/>
      <c r="AJ7" s="1872"/>
      <c r="AK7" s="1915"/>
      <c r="AL7" s="1834"/>
      <c r="AM7" s="1837"/>
      <c r="AN7" s="1840"/>
      <c r="AO7" s="1913"/>
      <c r="AP7" s="1910"/>
      <c r="AQ7" s="1910"/>
    </row>
    <row r="8" spans="1:43" ht="36.75" thickBot="1" x14ac:dyDescent="0.3">
      <c r="A8" s="1045" t="s">
        <v>422</v>
      </c>
      <c r="B8" s="1047"/>
      <c r="C8" s="1048"/>
      <c r="D8" s="1049"/>
      <c r="E8" s="1050"/>
      <c r="F8" s="1048"/>
      <c r="G8" s="1048"/>
      <c r="H8" s="1051">
        <f>+(H9*W9)+(H32*W32)+(H49*W49)</f>
        <v>0.9179624999999999</v>
      </c>
      <c r="I8" s="1051">
        <f>+(I9*X9)+(I32*X32)+(I49*X49)</f>
        <v>0.80033333333333334</v>
      </c>
      <c r="J8" s="1052"/>
      <c r="K8" s="1053"/>
      <c r="L8" s="1054"/>
      <c r="M8" s="1052"/>
      <c r="N8" s="1052"/>
      <c r="O8" s="1054"/>
      <c r="P8" s="1054"/>
      <c r="Q8" s="1054"/>
      <c r="R8" s="1055"/>
      <c r="S8" s="1056"/>
      <c r="T8" s="1057"/>
      <c r="U8" s="1058"/>
      <c r="V8" s="1059">
        <f>+(V9*W9)+(V32*W32)+(V49*W49)</f>
        <v>0.53797427128574415</v>
      </c>
      <c r="W8" s="1060">
        <v>0.4</v>
      </c>
      <c r="X8" s="1061">
        <v>0.4</v>
      </c>
      <c r="Y8" s="1062">
        <f>+Y9+Y32+Y49</f>
        <v>98019981775</v>
      </c>
      <c r="Z8" s="1062">
        <f t="shared" ref="Z8:AI8" si="0">+Z9+Z32+Z49</f>
        <v>46412999007.309998</v>
      </c>
      <c r="AA8" s="1063">
        <f t="shared" si="0"/>
        <v>68722723175.070007</v>
      </c>
      <c r="AB8" s="1056">
        <f>+AA8/Y8</f>
        <v>0.7011093241459645</v>
      </c>
      <c r="AC8" s="1063">
        <f t="shared" si="0"/>
        <v>57085007305.610001</v>
      </c>
      <c r="AD8" s="1064">
        <f>+AC8/Y8</f>
        <v>0.5823813295195851</v>
      </c>
      <c r="AE8" s="1047">
        <f t="shared" si="0"/>
        <v>11637715869.460001</v>
      </c>
      <c r="AF8" s="1068">
        <f t="shared" si="0"/>
        <v>14231945814.309999</v>
      </c>
      <c r="AG8" s="1062">
        <f t="shared" si="0"/>
        <v>12033647383.209999</v>
      </c>
      <c r="AH8" s="1065">
        <f>+AG8/AF8</f>
        <v>0.84553774587241293</v>
      </c>
      <c r="AI8" s="1062">
        <f t="shared" si="0"/>
        <v>262653585300</v>
      </c>
      <c r="AJ8" s="1062">
        <f>+AJ9+AJ32+AJ49</f>
        <v>115135722182.38</v>
      </c>
      <c r="AK8" s="1066">
        <f>+AJ8/AI8</f>
        <v>0.43835579876388614</v>
      </c>
      <c r="AL8" s="1047"/>
      <c r="AM8" s="1067"/>
      <c r="AN8" s="1068"/>
      <c r="AO8" s="1062"/>
      <c r="AP8" s="1069"/>
      <c r="AQ8" s="1070"/>
    </row>
    <row r="9" spans="1:43" s="554" customFormat="1" ht="26.25" thickBot="1" x14ac:dyDescent="0.3">
      <c r="A9" s="1028" t="s">
        <v>426</v>
      </c>
      <c r="B9" s="1029"/>
      <c r="C9" s="870"/>
      <c r="D9" s="871"/>
      <c r="E9" s="1030"/>
      <c r="F9" s="870"/>
      <c r="G9" s="870"/>
      <c r="H9" s="1031">
        <f>+(H10*W10)+(H23*W23)+(H26*W26)</f>
        <v>0.91599999999999993</v>
      </c>
      <c r="I9" s="1031">
        <f>+(I10*X10)+(I23*X23)+(I26*X26)</f>
        <v>0.75600000000000001</v>
      </c>
      <c r="J9" s="1032"/>
      <c r="K9" s="1029"/>
      <c r="L9" s="1033"/>
      <c r="M9" s="1032"/>
      <c r="N9" s="1032"/>
      <c r="O9" s="1033"/>
      <c r="P9" s="1033"/>
      <c r="Q9" s="1033"/>
      <c r="R9" s="1033"/>
      <c r="S9" s="1034"/>
      <c r="T9" s="1035"/>
      <c r="U9" s="1036"/>
      <c r="V9" s="1578">
        <f>+(V10*W10)+(V23*W23)+(V26*W26)</f>
        <v>0.56431085813492066</v>
      </c>
      <c r="W9" s="1031">
        <v>0.65</v>
      </c>
      <c r="X9" s="1037">
        <v>0.65</v>
      </c>
      <c r="Y9" s="1038">
        <f>+Y10+Y23+Y26</f>
        <v>44123822062</v>
      </c>
      <c r="Z9" s="1038">
        <f t="shared" ref="Z9:AJ9" si="1">+Z10+Z23+Z26</f>
        <v>6179050696.4099998</v>
      </c>
      <c r="AA9" s="1038">
        <f t="shared" si="1"/>
        <v>16991407463.370001</v>
      </c>
      <c r="AB9" s="1039">
        <f t="shared" ref="AB9:AB71" si="2">+AA9/Y9</f>
        <v>0.38508467012433217</v>
      </c>
      <c r="AC9" s="1040">
        <f t="shared" si="1"/>
        <v>15592621123.110001</v>
      </c>
      <c r="AD9" s="1041">
        <f t="shared" ref="AD9:AD72" si="3">+AC9/Y9</f>
        <v>0.35338328355146198</v>
      </c>
      <c r="AE9" s="1029">
        <f t="shared" si="1"/>
        <v>1398786340.26</v>
      </c>
      <c r="AF9" s="1032">
        <f t="shared" si="1"/>
        <v>5331709775.4099998</v>
      </c>
      <c r="AG9" s="1038">
        <f t="shared" si="1"/>
        <v>4541923144.3299999</v>
      </c>
      <c r="AH9" s="726">
        <f t="shared" ref="AH9:AH72" si="4">+AG9/AF9</f>
        <v>0.85186991333952222</v>
      </c>
      <c r="AI9" s="1038">
        <f t="shared" si="1"/>
        <v>95240134346</v>
      </c>
      <c r="AJ9" s="1038">
        <f t="shared" si="1"/>
        <v>23170458159.780006</v>
      </c>
      <c r="AK9" s="1042">
        <f t="shared" ref="AK9:AK74" si="5">+AJ9/AI9</f>
        <v>0.24328460180036637</v>
      </c>
      <c r="AL9" s="1029"/>
      <c r="AM9" s="1033" t="s">
        <v>295</v>
      </c>
      <c r="AN9" s="1032"/>
      <c r="AO9" s="1038"/>
      <c r="AP9" s="1043"/>
      <c r="AQ9" s="1044"/>
    </row>
    <row r="10" spans="1:43" ht="13.5" thickBot="1" x14ac:dyDescent="0.3">
      <c r="A10" s="742" t="s">
        <v>453</v>
      </c>
      <c r="B10" s="743"/>
      <c r="C10" s="744"/>
      <c r="D10" s="745"/>
      <c r="E10" s="746"/>
      <c r="F10" s="744"/>
      <c r="G10" s="744"/>
      <c r="H10" s="747">
        <f>+(H11*30%)+(H12*12%)+(H13*12%)+(H16*12%)+(H18*17%)+(H20*5%)+(H22*12%)</f>
        <v>0.58000000000000007</v>
      </c>
      <c r="I10" s="747">
        <f>+SUMPRODUCT(I11:I21,X11:X21)</f>
        <v>0.13</v>
      </c>
      <c r="J10" s="750"/>
      <c r="K10" s="743"/>
      <c r="L10" s="749"/>
      <c r="M10" s="750"/>
      <c r="N10" s="750"/>
      <c r="O10" s="749"/>
      <c r="P10" s="749"/>
      <c r="Q10" s="749"/>
      <c r="R10" s="749"/>
      <c r="S10" s="760"/>
      <c r="T10" s="826"/>
      <c r="U10" s="754"/>
      <c r="V10" s="997">
        <f>+SUMPRODUCT(V11:V22,W11:W22)</f>
        <v>0.23428571428571426</v>
      </c>
      <c r="W10" s="807">
        <v>0.2</v>
      </c>
      <c r="X10" s="953">
        <v>0.2</v>
      </c>
      <c r="Y10" s="757">
        <f>SUM(Y11:Y22)</f>
        <v>1046898827</v>
      </c>
      <c r="Z10" s="757">
        <f>SUM(Z11:Z22)</f>
        <v>1022391740</v>
      </c>
      <c r="AA10" s="757">
        <f t="shared" ref="AA10:AJ10" si="6">SUM(AA11:AA22)</f>
        <v>783124557.20000005</v>
      </c>
      <c r="AB10" s="758">
        <f>+AA10/Y10</f>
        <v>0.74804225298840654</v>
      </c>
      <c r="AC10" s="757">
        <f t="shared" si="6"/>
        <v>574476365</v>
      </c>
      <c r="AD10" s="748">
        <f t="shared" si="3"/>
        <v>0.54874105327467326</v>
      </c>
      <c r="AE10" s="928">
        <f t="shared" si="6"/>
        <v>208648192.19999999</v>
      </c>
      <c r="AF10" s="750">
        <f t="shared" si="6"/>
        <v>837279140</v>
      </c>
      <c r="AG10" s="757">
        <f t="shared" si="6"/>
        <v>817292444</v>
      </c>
      <c r="AH10" s="760">
        <f t="shared" si="4"/>
        <v>0.97612899325307445</v>
      </c>
      <c r="AI10" s="757">
        <f>SUM(AI11:AI22)</f>
        <v>9800000000</v>
      </c>
      <c r="AJ10" s="757">
        <f t="shared" si="6"/>
        <v>1805516297.2</v>
      </c>
      <c r="AK10" s="747">
        <f t="shared" si="5"/>
        <v>0.18423635685714287</v>
      </c>
      <c r="AL10" s="928"/>
      <c r="AM10" s="761"/>
      <c r="AN10" s="210"/>
      <c r="AO10" s="759"/>
      <c r="AP10" s="212"/>
      <c r="AQ10" s="213"/>
    </row>
    <row r="11" spans="1:43" ht="51" x14ac:dyDescent="0.25">
      <c r="A11" s="242" t="s">
        <v>513</v>
      </c>
      <c r="B11" s="959" t="s">
        <v>705</v>
      </c>
      <c r="C11" s="728">
        <v>1</v>
      </c>
      <c r="D11" s="991">
        <v>0</v>
      </c>
      <c r="E11" s="727">
        <v>0</v>
      </c>
      <c r="F11" s="728">
        <v>0</v>
      </c>
      <c r="G11" s="992">
        <v>0</v>
      </c>
      <c r="H11" s="729">
        <f t="shared" ref="H11:H31" si="7">IF((E11+G11)/C11&gt;=100%,100%,(E11+G11)/C11)</f>
        <v>0</v>
      </c>
      <c r="I11" s="910">
        <v>0</v>
      </c>
      <c r="J11" s="602" t="s">
        <v>1102</v>
      </c>
      <c r="K11" s="585"/>
      <c r="L11" s="731"/>
      <c r="M11" s="732"/>
      <c r="N11" s="585"/>
      <c r="O11" s="176"/>
      <c r="P11" s="176"/>
      <c r="Q11" s="176"/>
      <c r="R11" s="734"/>
      <c r="S11" s="506"/>
      <c r="T11" s="728">
        <v>1</v>
      </c>
      <c r="U11" s="736">
        <f>SUM(E11:G11)</f>
        <v>0</v>
      </c>
      <c r="V11" s="152">
        <f>IF(U11/T11&gt;=100%,100%,U11/T11)</f>
        <v>0</v>
      </c>
      <c r="W11" s="729">
        <v>0.15</v>
      </c>
      <c r="X11" s="949">
        <v>0</v>
      </c>
      <c r="Y11" s="452">
        <v>0</v>
      </c>
      <c r="Z11" s="275">
        <v>100000000</v>
      </c>
      <c r="AA11" s="275">
        <v>0</v>
      </c>
      <c r="AB11" s="738" t="e">
        <f t="shared" si="2"/>
        <v>#DIV/0!</v>
      </c>
      <c r="AC11" s="275">
        <v>0</v>
      </c>
      <c r="AD11" s="730" t="e">
        <f t="shared" si="3"/>
        <v>#DIV/0!</v>
      </c>
      <c r="AE11" s="1516">
        <f t="shared" ref="AE11:AE17" si="8">+AA11-AC11</f>
        <v>0</v>
      </c>
      <c r="AF11" s="1739">
        <v>7387400</v>
      </c>
      <c r="AG11" s="1740">
        <v>7357400</v>
      </c>
      <c r="AH11" s="1741">
        <f t="shared" si="4"/>
        <v>0.99593903132360506</v>
      </c>
      <c r="AI11" s="921">
        <v>1500000000</v>
      </c>
      <c r="AJ11" s="921">
        <f>+SUM(Z11:AA11)</f>
        <v>100000000</v>
      </c>
      <c r="AK11" s="1742">
        <f>+AJ11/AI11</f>
        <v>6.6666666666666666E-2</v>
      </c>
      <c r="AL11" s="1743"/>
      <c r="AM11" s="171"/>
      <c r="AN11" s="591" t="s">
        <v>31</v>
      </c>
      <c r="AO11" s="1916" t="s">
        <v>893</v>
      </c>
      <c r="AP11" s="1804"/>
      <c r="AQ11" s="1804"/>
    </row>
    <row r="12" spans="1:43" ht="51" x14ac:dyDescent="0.25">
      <c r="A12" s="242" t="s">
        <v>514</v>
      </c>
      <c r="B12" s="324" t="s">
        <v>711</v>
      </c>
      <c r="C12" s="147">
        <v>1</v>
      </c>
      <c r="D12" s="298">
        <v>1</v>
      </c>
      <c r="E12" s="182">
        <v>0</v>
      </c>
      <c r="F12" s="147">
        <v>0</v>
      </c>
      <c r="G12" s="558"/>
      <c r="H12" s="167">
        <f t="shared" si="7"/>
        <v>0</v>
      </c>
      <c r="I12" s="148">
        <f>IF(F12/D12&gt;=100%,100%,F12/D12)</f>
        <v>0</v>
      </c>
      <c r="J12" s="151" t="s">
        <v>930</v>
      </c>
      <c r="K12" s="146"/>
      <c r="L12" s="102"/>
      <c r="M12" s="104"/>
      <c r="N12" s="146"/>
      <c r="O12" s="149"/>
      <c r="P12" s="149"/>
      <c r="Q12" s="149"/>
      <c r="R12" s="150"/>
      <c r="S12" s="153"/>
      <c r="T12" s="147">
        <v>2</v>
      </c>
      <c r="U12" s="195">
        <f>SUM(E12:G12)</f>
        <v>0</v>
      </c>
      <c r="V12" s="152">
        <f t="shared" ref="V12:V14" si="9">IF(U12/T12&gt;=100%,100%,U12/T12)</f>
        <v>0</v>
      </c>
      <c r="W12" s="167">
        <v>0.08</v>
      </c>
      <c r="X12" s="392">
        <v>0.12</v>
      </c>
      <c r="Y12" s="451">
        <v>277196620</v>
      </c>
      <c r="Z12" s="274">
        <v>60000000</v>
      </c>
      <c r="AA12" s="274">
        <v>277196619.19999999</v>
      </c>
      <c r="AB12" s="208">
        <f t="shared" si="2"/>
        <v>0.99999999711396192</v>
      </c>
      <c r="AC12" s="274">
        <v>265944498</v>
      </c>
      <c r="AD12" s="520">
        <f t="shared" si="3"/>
        <v>0.95940743433307374</v>
      </c>
      <c r="AE12" s="1515">
        <f t="shared" si="8"/>
        <v>11252121.199999988</v>
      </c>
      <c r="AF12" s="1744">
        <v>30000000</v>
      </c>
      <c r="AG12" s="1745">
        <v>30000000</v>
      </c>
      <c r="AH12" s="1741">
        <f t="shared" si="4"/>
        <v>1</v>
      </c>
      <c r="AI12" s="197">
        <v>800000000</v>
      </c>
      <c r="AJ12" s="197">
        <f t="shared" ref="AJ12:AJ21" si="10">+SUM(Z12:AA12)</f>
        <v>337196619.19999999</v>
      </c>
      <c r="AK12" s="1746">
        <f t="shared" si="5"/>
        <v>0.42149577399999999</v>
      </c>
      <c r="AL12" s="1747"/>
      <c r="AM12" s="155"/>
      <c r="AN12" s="151" t="s">
        <v>31</v>
      </c>
      <c r="AO12" s="1898"/>
      <c r="AP12" s="98"/>
      <c r="AQ12" s="98"/>
    </row>
    <row r="13" spans="1:43" ht="102" x14ac:dyDescent="0.25">
      <c r="A13" s="242" t="s">
        <v>515</v>
      </c>
      <c r="B13" s="324" t="s">
        <v>712</v>
      </c>
      <c r="C13" s="169">
        <v>0.1</v>
      </c>
      <c r="D13" s="167">
        <v>0.1</v>
      </c>
      <c r="E13" s="224">
        <v>0.1</v>
      </c>
      <c r="F13" s="169">
        <v>0.1</v>
      </c>
      <c r="G13" s="147"/>
      <c r="H13" s="167">
        <f t="shared" si="7"/>
        <v>1</v>
      </c>
      <c r="I13" s="148">
        <f t="shared" ref="I13:I22" si="11">IF(F13/D13&gt;=100%,100%,F13/D13)</f>
        <v>1</v>
      </c>
      <c r="J13" s="151" t="s">
        <v>931</v>
      </c>
      <c r="K13" s="146"/>
      <c r="L13" s="102"/>
      <c r="M13" s="104"/>
      <c r="N13" s="146"/>
      <c r="O13" s="149"/>
      <c r="P13" s="149"/>
      <c r="Q13" s="149"/>
      <c r="R13" s="150"/>
      <c r="S13" s="153"/>
      <c r="T13" s="169">
        <v>0.4</v>
      </c>
      <c r="U13" s="195">
        <f t="shared" ref="U13:U22" si="12">SUM(E13:G13)</f>
        <v>0.2</v>
      </c>
      <c r="V13" s="152">
        <f t="shared" si="9"/>
        <v>0.5</v>
      </c>
      <c r="W13" s="167">
        <v>0.08</v>
      </c>
      <c r="X13" s="392">
        <v>0.13</v>
      </c>
      <c r="Y13" s="450">
        <v>100000000</v>
      </c>
      <c r="Z13" s="274">
        <v>199891740</v>
      </c>
      <c r="AA13" s="274">
        <v>77543235</v>
      </c>
      <c r="AB13" s="208">
        <f t="shared" si="2"/>
        <v>0.77543234999999999</v>
      </c>
      <c r="AC13" s="274">
        <v>62702998</v>
      </c>
      <c r="AD13" s="520">
        <f t="shared" si="3"/>
        <v>0.62702997999999999</v>
      </c>
      <c r="AE13" s="1515">
        <f t="shared" si="8"/>
        <v>14840237</v>
      </c>
      <c r="AF13" s="1748">
        <v>199891740</v>
      </c>
      <c r="AG13" s="1749">
        <v>189967522</v>
      </c>
      <c r="AH13" s="1741">
        <f t="shared" si="4"/>
        <v>0.95035203555684689</v>
      </c>
      <c r="AI13" s="197">
        <v>800000000</v>
      </c>
      <c r="AJ13" s="197">
        <f t="shared" si="10"/>
        <v>277434975</v>
      </c>
      <c r="AK13" s="1746">
        <f t="shared" si="5"/>
        <v>0.34679371874999998</v>
      </c>
      <c r="AL13" s="1747"/>
      <c r="AM13" s="155"/>
      <c r="AN13" s="151" t="s">
        <v>8</v>
      </c>
      <c r="AO13" s="1917" t="s">
        <v>893</v>
      </c>
      <c r="AP13" s="98"/>
      <c r="AQ13" s="98"/>
    </row>
    <row r="14" spans="1:43" ht="63.75" x14ac:dyDescent="0.25">
      <c r="A14" s="242" t="s">
        <v>516</v>
      </c>
      <c r="B14" s="324" t="s">
        <v>713</v>
      </c>
      <c r="C14" s="169">
        <v>0</v>
      </c>
      <c r="D14" s="167">
        <v>0.1</v>
      </c>
      <c r="E14" s="169">
        <v>0</v>
      </c>
      <c r="F14" s="169">
        <v>0</v>
      </c>
      <c r="G14" s="147"/>
      <c r="H14" s="167" t="e">
        <f t="shared" si="7"/>
        <v>#DIV/0!</v>
      </c>
      <c r="I14" s="148">
        <f t="shared" si="11"/>
        <v>0</v>
      </c>
      <c r="J14" s="151" t="s">
        <v>932</v>
      </c>
      <c r="K14" s="146"/>
      <c r="L14" s="102"/>
      <c r="M14" s="104"/>
      <c r="N14" s="146"/>
      <c r="O14" s="149"/>
      <c r="P14" s="149"/>
      <c r="Q14" s="149"/>
      <c r="R14" s="150"/>
      <c r="S14" s="153"/>
      <c r="T14" s="169">
        <v>0.30000000000000004</v>
      </c>
      <c r="U14" s="195">
        <f t="shared" si="12"/>
        <v>0</v>
      </c>
      <c r="V14" s="152">
        <f t="shared" si="9"/>
        <v>0</v>
      </c>
      <c r="W14" s="167">
        <v>0.05</v>
      </c>
      <c r="X14" s="392">
        <v>7.0000000000000007E-2</v>
      </c>
      <c r="Y14" s="452">
        <v>100000000</v>
      </c>
      <c r="Z14" s="275" t="s">
        <v>892</v>
      </c>
      <c r="AA14" s="275">
        <v>79052654</v>
      </c>
      <c r="AB14" s="208">
        <f t="shared" si="2"/>
        <v>0.79052654</v>
      </c>
      <c r="AC14" s="275">
        <v>35880412</v>
      </c>
      <c r="AD14" s="520">
        <f t="shared" si="3"/>
        <v>0.35880412</v>
      </c>
      <c r="AE14" s="1516">
        <f t="shared" si="8"/>
        <v>43172242</v>
      </c>
      <c r="AF14" s="1750">
        <v>0</v>
      </c>
      <c r="AG14" s="1749">
        <v>0</v>
      </c>
      <c r="AH14" s="1741" t="e">
        <f t="shared" si="4"/>
        <v>#DIV/0!</v>
      </c>
      <c r="AI14" s="197">
        <v>600000000</v>
      </c>
      <c r="AJ14" s="197">
        <f t="shared" si="10"/>
        <v>79052654</v>
      </c>
      <c r="AK14" s="1746">
        <f t="shared" si="5"/>
        <v>0.13175442333333334</v>
      </c>
      <c r="AL14" s="1747"/>
      <c r="AM14" s="155"/>
      <c r="AN14" s="151" t="s">
        <v>8</v>
      </c>
      <c r="AO14" s="1897"/>
      <c r="AP14" s="98"/>
      <c r="AQ14" s="98"/>
    </row>
    <row r="15" spans="1:43" ht="63.75" x14ac:dyDescent="0.25">
      <c r="A15" s="242" t="s">
        <v>517</v>
      </c>
      <c r="B15" s="324" t="s">
        <v>714</v>
      </c>
      <c r="C15" s="364">
        <v>0</v>
      </c>
      <c r="D15" s="167">
        <v>0.1</v>
      </c>
      <c r="E15" s="169">
        <v>0</v>
      </c>
      <c r="F15" s="169">
        <v>0</v>
      </c>
      <c r="G15" s="147"/>
      <c r="H15" s="167" t="e">
        <f t="shared" si="7"/>
        <v>#DIV/0!</v>
      </c>
      <c r="I15" s="148">
        <f t="shared" si="11"/>
        <v>0</v>
      </c>
      <c r="J15" s="151" t="s">
        <v>933</v>
      </c>
      <c r="K15" s="146"/>
      <c r="L15" s="102"/>
      <c r="M15" s="104"/>
      <c r="N15" s="146"/>
      <c r="O15" s="149"/>
      <c r="P15" s="149"/>
      <c r="Q15" s="149"/>
      <c r="R15" s="150"/>
      <c r="S15" s="153"/>
      <c r="T15" s="169">
        <v>0.30000000000000004</v>
      </c>
      <c r="U15" s="195">
        <f t="shared" si="12"/>
        <v>0</v>
      </c>
      <c r="V15" s="152">
        <f>IF(U15/T15&gt;=100%,100%,U15/T15)</f>
        <v>0</v>
      </c>
      <c r="W15" s="167">
        <v>0.05</v>
      </c>
      <c r="X15" s="392">
        <v>7.0000000000000007E-2</v>
      </c>
      <c r="Y15" s="452">
        <v>100000000</v>
      </c>
      <c r="Z15" s="275" t="s">
        <v>892</v>
      </c>
      <c r="AA15" s="275">
        <v>84506072</v>
      </c>
      <c r="AB15" s="208">
        <f t="shared" si="2"/>
        <v>0.84506071999999999</v>
      </c>
      <c r="AC15" s="275">
        <v>51587902</v>
      </c>
      <c r="AD15" s="520">
        <f t="shared" si="3"/>
        <v>0.51587901999999997</v>
      </c>
      <c r="AE15" s="1516">
        <f t="shared" si="8"/>
        <v>32918170</v>
      </c>
      <c r="AF15" s="1750">
        <v>0</v>
      </c>
      <c r="AG15" s="1749">
        <v>0</v>
      </c>
      <c r="AH15" s="1741" t="e">
        <f t="shared" si="4"/>
        <v>#DIV/0!</v>
      </c>
      <c r="AI15" s="197">
        <v>600000000</v>
      </c>
      <c r="AJ15" s="197">
        <f t="shared" si="10"/>
        <v>84506072</v>
      </c>
      <c r="AK15" s="1746">
        <f t="shared" si="5"/>
        <v>0.14084345333333334</v>
      </c>
      <c r="AL15" s="1747"/>
      <c r="AM15" s="155"/>
      <c r="AN15" s="151" t="s">
        <v>8</v>
      </c>
      <c r="AO15" s="1898"/>
      <c r="AP15" s="98"/>
      <c r="AQ15" s="98"/>
    </row>
    <row r="16" spans="1:43" ht="38.25" x14ac:dyDescent="0.25">
      <c r="A16" s="242" t="s">
        <v>518</v>
      </c>
      <c r="B16" s="325" t="s">
        <v>706</v>
      </c>
      <c r="C16" s="147">
        <v>1</v>
      </c>
      <c r="D16" s="298">
        <v>0</v>
      </c>
      <c r="E16" s="182">
        <v>0</v>
      </c>
      <c r="F16" s="147">
        <v>0</v>
      </c>
      <c r="G16" s="147">
        <v>1</v>
      </c>
      <c r="H16" s="167">
        <f t="shared" si="7"/>
        <v>1</v>
      </c>
      <c r="I16" s="148">
        <v>0</v>
      </c>
      <c r="J16" s="151" t="s">
        <v>1103</v>
      </c>
      <c r="K16" s="146"/>
      <c r="L16" s="102"/>
      <c r="M16" s="104"/>
      <c r="N16" s="146"/>
      <c r="O16" s="149"/>
      <c r="P16" s="149"/>
      <c r="Q16" s="149"/>
      <c r="R16" s="150"/>
      <c r="S16" s="153"/>
      <c r="T16" s="147">
        <v>1</v>
      </c>
      <c r="U16" s="599">
        <f t="shared" si="12"/>
        <v>1</v>
      </c>
      <c r="V16" s="152">
        <f t="shared" ref="V16" si="13">IF(U16/T16&gt;=100%,100%,U16/T16)</f>
        <v>1</v>
      </c>
      <c r="W16" s="167">
        <v>0.08</v>
      </c>
      <c r="X16" s="392">
        <v>0</v>
      </c>
      <c r="Y16" s="452">
        <v>0</v>
      </c>
      <c r="Z16" s="274">
        <v>600000000</v>
      </c>
      <c r="AA16" s="452">
        <v>0</v>
      </c>
      <c r="AB16" s="208" t="e">
        <f t="shared" si="2"/>
        <v>#DIV/0!</v>
      </c>
      <c r="AC16" s="452">
        <v>0</v>
      </c>
      <c r="AD16" s="520" t="e">
        <f t="shared" si="3"/>
        <v>#DIV/0!</v>
      </c>
      <c r="AE16" s="1516">
        <f t="shared" si="8"/>
        <v>0</v>
      </c>
      <c r="AF16" s="1750">
        <v>600000000</v>
      </c>
      <c r="AG16" s="1749">
        <v>589967522</v>
      </c>
      <c r="AH16" s="1741">
        <f t="shared" si="4"/>
        <v>0.9832792033333333</v>
      </c>
      <c r="AI16" s="197">
        <v>700000000</v>
      </c>
      <c r="AJ16" s="197">
        <f t="shared" si="10"/>
        <v>600000000</v>
      </c>
      <c r="AK16" s="1746">
        <f t="shared" si="5"/>
        <v>0.8571428571428571</v>
      </c>
      <c r="AL16" s="1747"/>
      <c r="AM16" s="155"/>
      <c r="AN16" s="151" t="s">
        <v>302</v>
      </c>
      <c r="AO16" s="1917" t="s">
        <v>893</v>
      </c>
      <c r="AP16" s="98"/>
      <c r="AQ16" s="98"/>
    </row>
    <row r="17" spans="1:43" ht="51" x14ac:dyDescent="0.25">
      <c r="A17" s="242" t="s">
        <v>519</v>
      </c>
      <c r="B17" s="324" t="s">
        <v>715</v>
      </c>
      <c r="C17" s="147">
        <v>0</v>
      </c>
      <c r="D17" s="298">
        <v>0</v>
      </c>
      <c r="E17" s="182">
        <v>0</v>
      </c>
      <c r="F17" s="147">
        <v>0</v>
      </c>
      <c r="G17" s="147"/>
      <c r="H17" s="167" t="e">
        <f t="shared" si="7"/>
        <v>#DIV/0!</v>
      </c>
      <c r="I17" s="148">
        <v>0</v>
      </c>
      <c r="J17" s="151"/>
      <c r="K17" s="146"/>
      <c r="L17" s="102"/>
      <c r="M17" s="104"/>
      <c r="N17" s="146"/>
      <c r="O17" s="149"/>
      <c r="P17" s="149"/>
      <c r="Q17" s="149"/>
      <c r="R17" s="150"/>
      <c r="S17" s="156"/>
      <c r="T17" s="147">
        <v>1</v>
      </c>
      <c r="U17" s="195">
        <f t="shared" si="12"/>
        <v>0</v>
      </c>
      <c r="V17" s="152">
        <f>IF(U17/T17&gt;=100%,100%,U17/T17)</f>
        <v>0</v>
      </c>
      <c r="W17" s="167">
        <v>0.08</v>
      </c>
      <c r="X17" s="392">
        <v>0</v>
      </c>
      <c r="Y17" s="452" t="s">
        <v>892</v>
      </c>
      <c r="Z17" s="275" t="s">
        <v>892</v>
      </c>
      <c r="AA17" s="452">
        <v>0</v>
      </c>
      <c r="AB17" s="291" t="e">
        <f>+AA17/Y17</f>
        <v>#DIV/0!</v>
      </c>
      <c r="AC17" s="452">
        <v>0</v>
      </c>
      <c r="AD17" s="520" t="e">
        <f t="shared" si="3"/>
        <v>#DIV/0!</v>
      </c>
      <c r="AE17" s="1516">
        <f t="shared" si="8"/>
        <v>0</v>
      </c>
      <c r="AF17" s="1750">
        <v>0</v>
      </c>
      <c r="AG17" s="1749">
        <v>0</v>
      </c>
      <c r="AH17" s="1741" t="e">
        <f t="shared" si="4"/>
        <v>#DIV/0!</v>
      </c>
      <c r="AI17" s="197">
        <v>800000000</v>
      </c>
      <c r="AJ17" s="197">
        <f t="shared" si="10"/>
        <v>0</v>
      </c>
      <c r="AK17" s="1746">
        <f t="shared" si="5"/>
        <v>0</v>
      </c>
      <c r="AL17" s="1747"/>
      <c r="AM17" s="155"/>
      <c r="AN17" s="151" t="s">
        <v>31</v>
      </c>
      <c r="AO17" s="1897"/>
      <c r="AP17" s="98"/>
      <c r="AQ17" s="98"/>
    </row>
    <row r="18" spans="1:43" ht="51" x14ac:dyDescent="0.25">
      <c r="A18" s="242" t="s">
        <v>520</v>
      </c>
      <c r="B18" s="324" t="s">
        <v>716</v>
      </c>
      <c r="C18" s="147">
        <v>3</v>
      </c>
      <c r="D18" s="298">
        <v>1</v>
      </c>
      <c r="E18" s="182">
        <v>3</v>
      </c>
      <c r="F18" s="147">
        <v>0</v>
      </c>
      <c r="G18" s="147"/>
      <c r="H18" s="167">
        <f t="shared" si="7"/>
        <v>1</v>
      </c>
      <c r="I18" s="148">
        <f>IF(F18/D18&gt;=100%,100%,F18/D18)</f>
        <v>0</v>
      </c>
      <c r="J18" s="151" t="s">
        <v>935</v>
      </c>
      <c r="K18" s="146"/>
      <c r="L18" s="102"/>
      <c r="M18" s="104"/>
      <c r="N18" s="146"/>
      <c r="O18" s="149"/>
      <c r="P18" s="149"/>
      <c r="Q18" s="149"/>
      <c r="R18" s="150"/>
      <c r="S18" s="156"/>
      <c r="T18" s="147">
        <v>5</v>
      </c>
      <c r="U18" s="195">
        <f t="shared" si="12"/>
        <v>3</v>
      </c>
      <c r="V18" s="152">
        <f t="shared" ref="V18:V19" si="14">IF(U18/T18&gt;=100%,100%,U18/T18)</f>
        <v>0.6</v>
      </c>
      <c r="W18" s="167">
        <v>0.1</v>
      </c>
      <c r="X18" s="392">
        <v>0.15</v>
      </c>
      <c r="Y18" s="452">
        <v>49702207</v>
      </c>
      <c r="Z18" s="274">
        <v>0</v>
      </c>
      <c r="AA18" s="275">
        <v>38011318</v>
      </c>
      <c r="AB18" s="208">
        <f t="shared" si="2"/>
        <v>0.76478129029562003</v>
      </c>
      <c r="AC18" s="452">
        <v>37199404</v>
      </c>
      <c r="AD18" s="520">
        <f t="shared" si="3"/>
        <v>0.74844571791349224</v>
      </c>
      <c r="AE18" s="1516">
        <f t="shared" ref="AE18:AE22" si="15">+AA18-AC18</f>
        <v>811914</v>
      </c>
      <c r="AF18" s="1750">
        <v>0</v>
      </c>
      <c r="AG18" s="1749">
        <v>0</v>
      </c>
      <c r="AH18" s="1741" t="e">
        <f t="shared" si="4"/>
        <v>#DIV/0!</v>
      </c>
      <c r="AI18" s="197">
        <v>1100000000</v>
      </c>
      <c r="AJ18" s="197">
        <f t="shared" si="10"/>
        <v>38011318</v>
      </c>
      <c r="AK18" s="1746">
        <f t="shared" si="5"/>
        <v>3.4555743636363635E-2</v>
      </c>
      <c r="AL18" s="1747"/>
      <c r="AM18" s="155"/>
      <c r="AN18" s="151" t="s">
        <v>4</v>
      </c>
      <c r="AO18" s="1898"/>
      <c r="AP18" s="98"/>
      <c r="AQ18" s="98"/>
    </row>
    <row r="19" spans="1:43" ht="76.5" x14ac:dyDescent="0.25">
      <c r="A19" s="242" t="s">
        <v>521</v>
      </c>
      <c r="B19" s="325" t="s">
        <v>707</v>
      </c>
      <c r="C19" s="147">
        <v>0</v>
      </c>
      <c r="D19" s="1581">
        <v>0.1</v>
      </c>
      <c r="E19" s="1582">
        <v>0</v>
      </c>
      <c r="F19" s="558">
        <v>0</v>
      </c>
      <c r="G19" s="558"/>
      <c r="H19" s="598" t="e">
        <f>IF((E19+G19)/C19&gt;=100%,100%,(E19+G19)/C19)</f>
        <v>#DIV/0!</v>
      </c>
      <c r="I19" s="1087">
        <f>IF(F19/D19&gt;=100%,100%,F19/D19)</f>
        <v>0</v>
      </c>
      <c r="J19" s="601" t="s">
        <v>1521</v>
      </c>
      <c r="K19" s="1085"/>
      <c r="L19" s="1583"/>
      <c r="M19" s="1584"/>
      <c r="N19" s="1085"/>
      <c r="O19" s="1089"/>
      <c r="P19" s="1089"/>
      <c r="Q19" s="1089"/>
      <c r="R19" s="1091"/>
      <c r="S19" s="1585"/>
      <c r="T19" s="558">
        <v>1</v>
      </c>
      <c r="U19" s="195">
        <f t="shared" si="12"/>
        <v>0</v>
      </c>
      <c r="V19" s="152">
        <f t="shared" si="14"/>
        <v>0</v>
      </c>
      <c r="W19" s="167">
        <v>0.08</v>
      </c>
      <c r="X19" s="1579">
        <v>0.12</v>
      </c>
      <c r="Y19" s="1580">
        <v>200000000</v>
      </c>
      <c r="Z19" s="516">
        <v>0</v>
      </c>
      <c r="AA19" s="275">
        <v>42093925</v>
      </c>
      <c r="AB19" s="208">
        <f t="shared" si="2"/>
        <v>0.21046962499999999</v>
      </c>
      <c r="AC19" s="452">
        <v>41733074</v>
      </c>
      <c r="AD19" s="520">
        <f t="shared" si="3"/>
        <v>0.20866536999999999</v>
      </c>
      <c r="AE19" s="1516">
        <f t="shared" si="15"/>
        <v>360851</v>
      </c>
      <c r="AF19" s="1750">
        <v>0</v>
      </c>
      <c r="AG19" s="1749">
        <v>0</v>
      </c>
      <c r="AH19" s="1741" t="e">
        <f t="shared" si="4"/>
        <v>#DIV/0!</v>
      </c>
      <c r="AI19" s="197">
        <v>700000000</v>
      </c>
      <c r="AJ19" s="197">
        <f t="shared" si="10"/>
        <v>42093925</v>
      </c>
      <c r="AK19" s="1746">
        <f t="shared" si="5"/>
        <v>6.0134178571428575E-2</v>
      </c>
      <c r="AL19" s="1747"/>
      <c r="AM19" s="155"/>
      <c r="AN19" s="151" t="s">
        <v>302</v>
      </c>
      <c r="AO19" s="1760" t="s">
        <v>894</v>
      </c>
      <c r="AP19" s="98"/>
      <c r="AQ19" s="98"/>
    </row>
    <row r="20" spans="1:43" ht="63.75" x14ac:dyDescent="0.25">
      <c r="A20" s="242" t="s">
        <v>522</v>
      </c>
      <c r="B20" s="325" t="s">
        <v>708</v>
      </c>
      <c r="C20" s="147">
        <v>1</v>
      </c>
      <c r="D20" s="298">
        <v>0</v>
      </c>
      <c r="E20" s="182">
        <v>1</v>
      </c>
      <c r="F20" s="147">
        <v>0</v>
      </c>
      <c r="G20" s="147"/>
      <c r="H20" s="167">
        <f t="shared" si="7"/>
        <v>1</v>
      </c>
      <c r="I20" s="148">
        <v>0</v>
      </c>
      <c r="J20" s="601" t="s">
        <v>1517</v>
      </c>
      <c r="K20" s="146"/>
      <c r="L20" s="102"/>
      <c r="M20" s="104"/>
      <c r="N20" s="146"/>
      <c r="O20" s="149"/>
      <c r="P20" s="149"/>
      <c r="Q20" s="149"/>
      <c r="R20" s="150"/>
      <c r="S20" s="156"/>
      <c r="T20" s="147">
        <v>1</v>
      </c>
      <c r="U20" s="195">
        <f t="shared" si="12"/>
        <v>1</v>
      </c>
      <c r="V20" s="152">
        <f>IF(U20/T20&gt;=100%,100%,U20/T20)</f>
        <v>1</v>
      </c>
      <c r="W20" s="167">
        <v>0.02</v>
      </c>
      <c r="X20" s="392">
        <v>0</v>
      </c>
      <c r="Y20" s="452">
        <v>0</v>
      </c>
      <c r="Z20" s="274">
        <v>27500000</v>
      </c>
      <c r="AA20" s="452">
        <v>0</v>
      </c>
      <c r="AB20" s="208" t="e">
        <f t="shared" si="2"/>
        <v>#DIV/0!</v>
      </c>
      <c r="AC20" s="452">
        <v>0</v>
      </c>
      <c r="AD20" s="520" t="e">
        <f t="shared" si="3"/>
        <v>#DIV/0!</v>
      </c>
      <c r="AE20" s="1516">
        <f t="shared" si="15"/>
        <v>0</v>
      </c>
      <c r="AF20" s="1750">
        <v>0</v>
      </c>
      <c r="AG20" s="1749">
        <v>0</v>
      </c>
      <c r="AH20" s="1741" t="e">
        <f t="shared" si="4"/>
        <v>#DIV/0!</v>
      </c>
      <c r="AI20" s="197">
        <v>100000000</v>
      </c>
      <c r="AJ20" s="197">
        <f t="shared" si="10"/>
        <v>27500000</v>
      </c>
      <c r="AK20" s="1746">
        <f t="shared" si="5"/>
        <v>0.27500000000000002</v>
      </c>
      <c r="AL20" s="1747"/>
      <c r="AM20" s="155"/>
      <c r="AN20" s="151" t="s">
        <v>302</v>
      </c>
      <c r="AO20" s="1760" t="s">
        <v>893</v>
      </c>
      <c r="AP20" s="98"/>
      <c r="AQ20" s="98"/>
    </row>
    <row r="21" spans="1:43" ht="63.75" x14ac:dyDescent="0.25">
      <c r="A21" s="242" t="s">
        <v>523</v>
      </c>
      <c r="B21" s="325" t="s">
        <v>709</v>
      </c>
      <c r="C21" s="147">
        <v>0</v>
      </c>
      <c r="D21" s="298">
        <v>1</v>
      </c>
      <c r="E21" s="182">
        <v>0</v>
      </c>
      <c r="F21" s="147">
        <v>0</v>
      </c>
      <c r="G21" s="147"/>
      <c r="H21" s="167" t="e">
        <f t="shared" si="7"/>
        <v>#DIV/0!</v>
      </c>
      <c r="I21" s="148">
        <f t="shared" si="11"/>
        <v>0</v>
      </c>
      <c r="J21" s="151" t="s">
        <v>934</v>
      </c>
      <c r="K21" s="146"/>
      <c r="L21" s="102"/>
      <c r="M21" s="104"/>
      <c r="N21" s="146"/>
      <c r="O21" s="149"/>
      <c r="P21" s="149"/>
      <c r="Q21" s="149"/>
      <c r="R21" s="150"/>
      <c r="S21" s="156"/>
      <c r="T21" s="147">
        <v>2</v>
      </c>
      <c r="U21" s="195">
        <f t="shared" si="12"/>
        <v>0</v>
      </c>
      <c r="V21" s="152">
        <f t="shared" ref="V21" si="16">IF(U21/T21&gt;=100%,100%,U21/T21)</f>
        <v>0</v>
      </c>
      <c r="W21" s="167">
        <v>0.15</v>
      </c>
      <c r="X21" s="392">
        <v>0.22</v>
      </c>
      <c r="Y21" s="517">
        <v>20000000</v>
      </c>
      <c r="Z21" s="274">
        <v>0</v>
      </c>
      <c r="AA21" s="274">
        <v>16893925</v>
      </c>
      <c r="AB21" s="208">
        <f t="shared" si="2"/>
        <v>0.84469625000000004</v>
      </c>
      <c r="AC21" s="452">
        <v>16533074</v>
      </c>
      <c r="AD21" s="520">
        <f t="shared" si="3"/>
        <v>0.82665370000000005</v>
      </c>
      <c r="AE21" s="1516">
        <f t="shared" si="15"/>
        <v>360851</v>
      </c>
      <c r="AF21" s="1750">
        <v>0</v>
      </c>
      <c r="AG21" s="1749">
        <v>0</v>
      </c>
      <c r="AH21" s="1741" t="e">
        <f t="shared" si="4"/>
        <v>#DIV/0!</v>
      </c>
      <c r="AI21" s="197">
        <v>1400000000</v>
      </c>
      <c r="AJ21" s="197">
        <f t="shared" si="10"/>
        <v>16893925</v>
      </c>
      <c r="AK21" s="1746">
        <f t="shared" si="5"/>
        <v>1.2067089285714285E-2</v>
      </c>
      <c r="AL21" s="1747"/>
      <c r="AM21" s="155"/>
      <c r="AN21" s="151" t="s">
        <v>302</v>
      </c>
      <c r="AO21" s="1760" t="s">
        <v>893</v>
      </c>
      <c r="AP21" s="98"/>
      <c r="AQ21" s="98"/>
    </row>
    <row r="22" spans="1:43" ht="64.5" thickBot="1" x14ac:dyDescent="0.3">
      <c r="A22" s="246" t="s">
        <v>524</v>
      </c>
      <c r="B22" s="988" t="s">
        <v>710</v>
      </c>
      <c r="C22" s="573">
        <v>1</v>
      </c>
      <c r="D22" s="980">
        <v>2</v>
      </c>
      <c r="E22" s="668">
        <v>1</v>
      </c>
      <c r="F22" s="573">
        <v>2</v>
      </c>
      <c r="G22" s="573"/>
      <c r="H22" s="561">
        <f t="shared" si="7"/>
        <v>1</v>
      </c>
      <c r="I22" s="669">
        <f t="shared" si="11"/>
        <v>1</v>
      </c>
      <c r="J22" s="589" t="s">
        <v>936</v>
      </c>
      <c r="K22" s="568"/>
      <c r="L22" s="177"/>
      <c r="M22" s="178"/>
      <c r="N22" s="568"/>
      <c r="O22" s="168"/>
      <c r="P22" s="168"/>
      <c r="Q22" s="168"/>
      <c r="R22" s="574"/>
      <c r="S22" s="957"/>
      <c r="T22" s="573">
        <v>7</v>
      </c>
      <c r="U22" s="555">
        <f t="shared" si="12"/>
        <v>3</v>
      </c>
      <c r="V22" s="801">
        <f>IF(U22/T22&gt;=100%,100%,U22/T22)</f>
        <v>0.42857142857142855</v>
      </c>
      <c r="W22" s="561">
        <v>0.08</v>
      </c>
      <c r="X22" s="938">
        <v>0.12</v>
      </c>
      <c r="Y22" s="457">
        <v>200000000</v>
      </c>
      <c r="Z22" s="906">
        <v>35000000</v>
      </c>
      <c r="AA22" s="906">
        <v>167826809</v>
      </c>
      <c r="AB22" s="580">
        <f t="shared" si="2"/>
        <v>0.839134045</v>
      </c>
      <c r="AC22" s="457">
        <v>62895003</v>
      </c>
      <c r="AD22" s="557">
        <f t="shared" si="3"/>
        <v>0.31447501500000002</v>
      </c>
      <c r="AE22" s="1517">
        <f t="shared" si="15"/>
        <v>104931806</v>
      </c>
      <c r="AF22" s="1744">
        <v>0</v>
      </c>
      <c r="AG22" s="1751">
        <v>0</v>
      </c>
      <c r="AH22" s="1752" t="e">
        <f t="shared" si="4"/>
        <v>#DIV/0!</v>
      </c>
      <c r="AI22" s="1738">
        <v>700000000</v>
      </c>
      <c r="AJ22" s="685">
        <f>+SUM(Z22:AA22)</f>
        <v>202826809</v>
      </c>
      <c r="AK22" s="1753">
        <f t="shared" si="5"/>
        <v>0.28975258428571427</v>
      </c>
      <c r="AL22" s="1754"/>
      <c r="AM22" s="162"/>
      <c r="AN22" s="589" t="s">
        <v>302</v>
      </c>
      <c r="AO22" s="1760" t="s">
        <v>893</v>
      </c>
      <c r="AP22" s="594"/>
      <c r="AQ22" s="594"/>
    </row>
    <row r="23" spans="1:43" ht="26.25" thickBot="1" x14ac:dyDescent="0.3">
      <c r="A23" s="742" t="s">
        <v>454</v>
      </c>
      <c r="B23" s="743"/>
      <c r="C23" s="744"/>
      <c r="D23" s="745"/>
      <c r="E23" s="746"/>
      <c r="F23" s="744"/>
      <c r="G23" s="744"/>
      <c r="H23" s="747">
        <f>+(H24*50%)+(H25*50%)</f>
        <v>1</v>
      </c>
      <c r="I23" s="747">
        <f>+SUMPRODUCT(I24:I25,X24:X25)</f>
        <v>1</v>
      </c>
      <c r="J23" s="750"/>
      <c r="K23" s="743"/>
      <c r="L23" s="749"/>
      <c r="M23" s="750"/>
      <c r="N23" s="750"/>
      <c r="O23" s="749"/>
      <c r="P23" s="749"/>
      <c r="Q23" s="749"/>
      <c r="R23" s="749"/>
      <c r="S23" s="760"/>
      <c r="T23" s="826"/>
      <c r="U23" s="754"/>
      <c r="V23" s="997">
        <f>+SUMPRODUCT(V24:V25,W24:W25)</f>
        <v>0.75</v>
      </c>
      <c r="W23" s="807">
        <v>0.1</v>
      </c>
      <c r="X23" s="953">
        <v>0.1</v>
      </c>
      <c r="Y23" s="757">
        <f>SUM(Y24:Y25)</f>
        <v>600000000</v>
      </c>
      <c r="Z23" s="757">
        <f>SUM(Z24:Z25)</f>
        <v>191150000</v>
      </c>
      <c r="AA23" s="757">
        <f>SUM(AA24:AA25)</f>
        <v>567479073</v>
      </c>
      <c r="AB23" s="758">
        <f t="shared" si="2"/>
        <v>0.94579845500000004</v>
      </c>
      <c r="AC23" s="757">
        <f>SUM(AC24:AC25)</f>
        <v>523178398</v>
      </c>
      <c r="AD23" s="748">
        <f t="shared" si="3"/>
        <v>0.87196399666666669</v>
      </c>
      <c r="AE23" s="928">
        <f>SUM(AE24:AE25)</f>
        <v>44300675</v>
      </c>
      <c r="AF23" s="1755">
        <f>SUM(AF24:AF25)</f>
        <v>32500000</v>
      </c>
      <c r="AG23" s="1734">
        <f>SUM(AG24:AG25)</f>
        <v>32500000</v>
      </c>
      <c r="AH23" s="1756">
        <f t="shared" si="4"/>
        <v>1</v>
      </c>
      <c r="AI23" s="1734">
        <f>SUM(AI24:AI25)</f>
        <v>2100000000</v>
      </c>
      <c r="AJ23" s="1734">
        <f>SUM(AJ24:AJ25)</f>
        <v>758629073</v>
      </c>
      <c r="AK23" s="1757">
        <f t="shared" si="5"/>
        <v>0.36125193952380952</v>
      </c>
      <c r="AL23" s="1758"/>
      <c r="AM23" s="761"/>
      <c r="AN23" s="210"/>
      <c r="AO23" s="928"/>
      <c r="AP23" s="213"/>
      <c r="AQ23" s="213"/>
    </row>
    <row r="24" spans="1:43" ht="76.5" x14ac:dyDescent="0.25">
      <c r="A24" s="243" t="s">
        <v>525</v>
      </c>
      <c r="B24" s="217" t="s">
        <v>717</v>
      </c>
      <c r="C24" s="728">
        <v>1</v>
      </c>
      <c r="D24" s="991">
        <v>1</v>
      </c>
      <c r="E24" s="727">
        <v>1</v>
      </c>
      <c r="F24" s="728">
        <v>1</v>
      </c>
      <c r="G24" s="728"/>
      <c r="H24" s="729">
        <f t="shared" si="7"/>
        <v>1</v>
      </c>
      <c r="I24" s="910">
        <f>IF(F24/D24&gt;=100%,100%,F24/D24)</f>
        <v>1</v>
      </c>
      <c r="J24" s="591" t="s">
        <v>937</v>
      </c>
      <c r="K24" s="585"/>
      <c r="L24" s="731"/>
      <c r="M24" s="732"/>
      <c r="N24" s="585"/>
      <c r="O24" s="176"/>
      <c r="P24" s="176"/>
      <c r="Q24" s="176"/>
      <c r="R24" s="734"/>
      <c r="S24" s="506"/>
      <c r="T24" s="728">
        <v>4</v>
      </c>
      <c r="U24" s="736">
        <f>SUM(E24:G24)</f>
        <v>2</v>
      </c>
      <c r="V24" s="152">
        <f>IF(U24/T24&gt;=100%,100%,U24/T24)</f>
        <v>0.5</v>
      </c>
      <c r="W24" s="399">
        <v>0.5</v>
      </c>
      <c r="X24" s="393">
        <v>0.5</v>
      </c>
      <c r="Y24" s="453">
        <v>400000000</v>
      </c>
      <c r="Z24" s="275">
        <v>151150000</v>
      </c>
      <c r="AA24" s="275">
        <v>370950000</v>
      </c>
      <c r="AB24" s="738">
        <f t="shared" si="2"/>
        <v>0.92737499999999995</v>
      </c>
      <c r="AC24" s="996">
        <v>368950000</v>
      </c>
      <c r="AD24" s="730">
        <f t="shared" si="3"/>
        <v>0.92237499999999994</v>
      </c>
      <c r="AE24" s="773">
        <f>+AA24-AC24</f>
        <v>2000000</v>
      </c>
      <c r="AF24" s="1522">
        <v>12500000</v>
      </c>
      <c r="AG24" s="275">
        <v>12500000</v>
      </c>
      <c r="AH24" s="506">
        <f t="shared" si="4"/>
        <v>1</v>
      </c>
      <c r="AI24" s="921">
        <v>1400000000</v>
      </c>
      <c r="AJ24" s="740">
        <f t="shared" ref="AJ24:AJ75" si="17">+SUM(Z24:AA24)</f>
        <v>522100000</v>
      </c>
      <c r="AK24" s="729">
        <f t="shared" si="5"/>
        <v>0.37292857142857144</v>
      </c>
      <c r="AL24" s="773"/>
      <c r="AM24" s="171"/>
      <c r="AN24" s="591" t="s">
        <v>302</v>
      </c>
      <c r="AO24" s="1929" t="s">
        <v>895</v>
      </c>
      <c r="AP24" s="595"/>
      <c r="AQ24" s="595"/>
    </row>
    <row r="25" spans="1:43" ht="90" thickBot="1" x14ac:dyDescent="0.3">
      <c r="A25" s="245" t="s">
        <v>526</v>
      </c>
      <c r="B25" s="962" t="s">
        <v>718</v>
      </c>
      <c r="C25" s="573">
        <v>3</v>
      </c>
      <c r="D25" s="980">
        <v>3</v>
      </c>
      <c r="E25" s="668">
        <v>3</v>
      </c>
      <c r="F25" s="573">
        <v>3</v>
      </c>
      <c r="G25" s="573"/>
      <c r="H25" s="561">
        <f t="shared" si="7"/>
        <v>1</v>
      </c>
      <c r="I25" s="669">
        <f>IF(F25/D25&gt;=100%,100%,F25/D25)</f>
        <v>1</v>
      </c>
      <c r="J25" s="589" t="s">
        <v>938</v>
      </c>
      <c r="K25" s="568"/>
      <c r="L25" s="177"/>
      <c r="M25" s="178"/>
      <c r="N25" s="568"/>
      <c r="O25" s="168"/>
      <c r="P25" s="168"/>
      <c r="Q25" s="168"/>
      <c r="R25" s="574"/>
      <c r="S25" s="981"/>
      <c r="T25" s="573">
        <v>4</v>
      </c>
      <c r="U25" s="555">
        <f>SUM(E25:G25)</f>
        <v>6</v>
      </c>
      <c r="V25" s="801">
        <f>IF(U25/T25&gt;=100%,100%,U25/T25)</f>
        <v>1</v>
      </c>
      <c r="W25" s="982">
        <v>0.5</v>
      </c>
      <c r="X25" s="983">
        <v>0.5</v>
      </c>
      <c r="Y25" s="984">
        <v>200000000</v>
      </c>
      <c r="Z25" s="906">
        <v>40000000</v>
      </c>
      <c r="AA25" s="906">
        <v>196529073</v>
      </c>
      <c r="AB25" s="580">
        <f t="shared" si="2"/>
        <v>0.98264536499999999</v>
      </c>
      <c r="AC25" s="990">
        <v>154228398</v>
      </c>
      <c r="AD25" s="557">
        <f t="shared" si="3"/>
        <v>0.77114199000000005</v>
      </c>
      <c r="AE25" s="163">
        <f>+AA25-AC25</f>
        <v>42300675</v>
      </c>
      <c r="AF25" s="1521">
        <v>20000000</v>
      </c>
      <c r="AG25" s="906">
        <v>20000000</v>
      </c>
      <c r="AH25" s="581">
        <f t="shared" si="4"/>
        <v>1</v>
      </c>
      <c r="AI25" s="685">
        <v>700000000</v>
      </c>
      <c r="AJ25" s="582">
        <f t="shared" si="17"/>
        <v>236529073</v>
      </c>
      <c r="AK25" s="561">
        <f t="shared" si="5"/>
        <v>0.33789867571428572</v>
      </c>
      <c r="AL25" s="163"/>
      <c r="AM25" s="162"/>
      <c r="AN25" s="589" t="s">
        <v>8</v>
      </c>
      <c r="AO25" s="1897"/>
      <c r="AP25" s="594"/>
      <c r="AQ25" s="594"/>
    </row>
    <row r="26" spans="1:43" ht="26.25" thickBot="1" x14ac:dyDescent="0.3">
      <c r="A26" s="742" t="s">
        <v>455</v>
      </c>
      <c r="B26" s="743"/>
      <c r="C26" s="744"/>
      <c r="D26" s="745"/>
      <c r="E26" s="746"/>
      <c r="F26" s="744"/>
      <c r="G26" s="744"/>
      <c r="H26" s="747">
        <f>+SUMPRODUCT(H27:H31,W27:W31)</f>
        <v>0.99999999999999989</v>
      </c>
      <c r="I26" s="747">
        <f>+SUMPRODUCT(I27:I31,X27:X31)</f>
        <v>0.9</v>
      </c>
      <c r="J26" s="750"/>
      <c r="K26" s="743"/>
      <c r="L26" s="749"/>
      <c r="M26" s="750"/>
      <c r="N26" s="750"/>
      <c r="O26" s="749"/>
      <c r="P26" s="749"/>
      <c r="Q26" s="749"/>
      <c r="R26" s="749"/>
      <c r="S26" s="760"/>
      <c r="T26" s="826"/>
      <c r="U26" s="754"/>
      <c r="V26" s="1586">
        <f>+SUMPRODUCT(V27:V32,W27:W32)</f>
        <v>0.63207673611111115</v>
      </c>
      <c r="W26" s="807">
        <v>0.7</v>
      </c>
      <c r="X26" s="953">
        <v>0.7</v>
      </c>
      <c r="Y26" s="757">
        <f>SUM(Y27:Y31)</f>
        <v>42476923235</v>
      </c>
      <c r="Z26" s="834">
        <f>SUM(Z27:Z31)</f>
        <v>4965508956.4099998</v>
      </c>
      <c r="AA26" s="757">
        <f>SUM(AA27:AA31)</f>
        <v>15640803833.17</v>
      </c>
      <c r="AB26" s="758">
        <f t="shared" si="2"/>
        <v>0.36821885018927974</v>
      </c>
      <c r="AC26" s="995">
        <f>SUM(AC27:AC31)</f>
        <v>14494966360.110001</v>
      </c>
      <c r="AD26" s="748">
        <f t="shared" si="3"/>
        <v>0.34124332122451101</v>
      </c>
      <c r="AE26" s="928">
        <f>SUM(AE27:AE31)</f>
        <v>1145837473.0599999</v>
      </c>
      <c r="AF26" s="1523">
        <f>SUM(AF27:AF31)</f>
        <v>4461930635.4099998</v>
      </c>
      <c r="AG26" s="757">
        <f>SUM(AG27:AG31)</f>
        <v>3692130700.3299999</v>
      </c>
      <c r="AH26" s="760">
        <f t="shared" si="4"/>
        <v>0.82747380047308505</v>
      </c>
      <c r="AI26" s="1734">
        <f>SUM(AI27:AI31)</f>
        <v>83340134346</v>
      </c>
      <c r="AJ26" s="757">
        <f>SUM(AJ27:AJ31)</f>
        <v>20606312789.580006</v>
      </c>
      <c r="AK26" s="747">
        <f t="shared" si="5"/>
        <v>0.24725557441543802</v>
      </c>
      <c r="AL26" s="928"/>
      <c r="AM26" s="761"/>
      <c r="AN26" s="210"/>
      <c r="AO26" s="928"/>
      <c r="AP26" s="213"/>
      <c r="AQ26" s="213"/>
    </row>
    <row r="27" spans="1:43" ht="114.75" x14ac:dyDescent="0.25">
      <c r="A27" s="242" t="s">
        <v>527</v>
      </c>
      <c r="B27" s="325" t="s">
        <v>719</v>
      </c>
      <c r="C27" s="728">
        <v>1</v>
      </c>
      <c r="D27" s="991">
        <v>1</v>
      </c>
      <c r="E27" s="727">
        <v>0</v>
      </c>
      <c r="F27" s="728">
        <v>0</v>
      </c>
      <c r="G27" s="992">
        <v>1</v>
      </c>
      <c r="H27" s="729">
        <f t="shared" si="7"/>
        <v>1</v>
      </c>
      <c r="I27" s="910">
        <f t="shared" ref="I27:I31" si="18">IF(F27/D27&gt;=100%,100%,F27/D27)</f>
        <v>0</v>
      </c>
      <c r="J27" s="602" t="s">
        <v>1109</v>
      </c>
      <c r="K27" s="585"/>
      <c r="L27" s="731"/>
      <c r="M27" s="732"/>
      <c r="N27" s="585"/>
      <c r="O27" s="176"/>
      <c r="P27" s="176"/>
      <c r="Q27" s="176"/>
      <c r="R27" s="734"/>
      <c r="S27" s="506"/>
      <c r="T27" s="728">
        <v>4</v>
      </c>
      <c r="U27" s="993">
        <f>SUM(E27:G27)</f>
        <v>1</v>
      </c>
      <c r="V27" s="152">
        <f t="shared" ref="V27:V34" si="19">IF(U27/T27&gt;=100%,100%,U27/T27)</f>
        <v>0.25</v>
      </c>
      <c r="W27" s="399">
        <v>0.1</v>
      </c>
      <c r="X27" s="393">
        <v>0.1</v>
      </c>
      <c r="Y27" s="452">
        <v>247000000</v>
      </c>
      <c r="Z27" s="994">
        <v>399801255.61000001</v>
      </c>
      <c r="AA27" s="994">
        <v>242056750.25999999</v>
      </c>
      <c r="AB27" s="738">
        <f t="shared" si="2"/>
        <v>0.97998684315789475</v>
      </c>
      <c r="AC27" s="994">
        <v>55048034</v>
      </c>
      <c r="AD27" s="730">
        <f t="shared" si="3"/>
        <v>0.22286653441295545</v>
      </c>
      <c r="AE27" s="773">
        <f>+AA27-AC27</f>
        <v>187008716.25999999</v>
      </c>
      <c r="AF27" s="1524">
        <v>386801255.61000001</v>
      </c>
      <c r="AG27" s="994">
        <v>386801255</v>
      </c>
      <c r="AH27" s="506">
        <f t="shared" si="4"/>
        <v>0.99999999842296272</v>
      </c>
      <c r="AI27" s="921">
        <v>2000000000</v>
      </c>
      <c r="AJ27" s="740">
        <f t="shared" si="17"/>
        <v>641858005.87</v>
      </c>
      <c r="AK27" s="729">
        <f t="shared" si="5"/>
        <v>0.32092900293499999</v>
      </c>
      <c r="AL27" s="773"/>
      <c r="AM27" s="171"/>
      <c r="AN27" s="591" t="s">
        <v>302</v>
      </c>
      <c r="AO27" s="1920" t="s">
        <v>896</v>
      </c>
      <c r="AP27" s="595"/>
      <c r="AQ27" s="595"/>
    </row>
    <row r="28" spans="1:43" ht="76.5" x14ac:dyDescent="0.25">
      <c r="A28" s="242" t="s">
        <v>528</v>
      </c>
      <c r="B28" s="325" t="s">
        <v>720</v>
      </c>
      <c r="C28" s="147">
        <v>1</v>
      </c>
      <c r="D28" s="298">
        <v>1</v>
      </c>
      <c r="E28" s="182">
        <v>1</v>
      </c>
      <c r="F28" s="147">
        <v>1</v>
      </c>
      <c r="G28" s="147"/>
      <c r="H28" s="167">
        <f t="shared" si="7"/>
        <v>1</v>
      </c>
      <c r="I28" s="148">
        <f t="shared" si="18"/>
        <v>1</v>
      </c>
      <c r="J28" s="601" t="s">
        <v>939</v>
      </c>
      <c r="K28" s="146"/>
      <c r="L28" s="102"/>
      <c r="M28" s="104"/>
      <c r="N28" s="146"/>
      <c r="O28" s="149"/>
      <c r="P28" s="149"/>
      <c r="Q28" s="149"/>
      <c r="R28" s="150"/>
      <c r="S28" s="153"/>
      <c r="T28" s="147">
        <v>4</v>
      </c>
      <c r="U28" s="195">
        <f>SUM(E28:G28)</f>
        <v>2</v>
      </c>
      <c r="V28" s="152">
        <f t="shared" ref="V28:V31" si="20">IF(U28/T28&gt;=100%,100%,U28/T28)</f>
        <v>0.5</v>
      </c>
      <c r="W28" s="399">
        <v>0.4</v>
      </c>
      <c r="X28" s="393">
        <v>0.4</v>
      </c>
      <c r="Y28" s="452">
        <v>38312385535</v>
      </c>
      <c r="Z28" s="290">
        <v>149750000</v>
      </c>
      <c r="AA28" s="290">
        <v>11776505702.950001</v>
      </c>
      <c r="AB28" s="208">
        <f t="shared" si="2"/>
        <v>0.30738116508541763</v>
      </c>
      <c r="AC28" s="290">
        <v>11545338771.700001</v>
      </c>
      <c r="AD28" s="520">
        <f t="shared" si="3"/>
        <v>0.30134742617770016</v>
      </c>
      <c r="AE28" s="154">
        <f>+AA28-AC28</f>
        <v>231166931.25</v>
      </c>
      <c r="AF28" s="1525">
        <v>121750000</v>
      </c>
      <c r="AG28" s="290">
        <v>121750000</v>
      </c>
      <c r="AH28" s="506">
        <f t="shared" si="4"/>
        <v>1</v>
      </c>
      <c r="AI28" s="197">
        <v>61045134346</v>
      </c>
      <c r="AJ28" s="198">
        <f t="shared" si="17"/>
        <v>11926255702.950001</v>
      </c>
      <c r="AK28" s="167">
        <f t="shared" si="5"/>
        <v>0.19536783448378917</v>
      </c>
      <c r="AL28" s="154"/>
      <c r="AM28" s="155"/>
      <c r="AN28" s="151" t="s">
        <v>302</v>
      </c>
      <c r="AO28" s="1897"/>
      <c r="AP28" s="98"/>
      <c r="AQ28" s="98"/>
    </row>
    <row r="29" spans="1:43" ht="165.75" x14ac:dyDescent="0.25">
      <c r="A29" s="242" t="s">
        <v>529</v>
      </c>
      <c r="B29" s="325" t="s">
        <v>721</v>
      </c>
      <c r="C29" s="147">
        <v>1</v>
      </c>
      <c r="D29" s="298">
        <v>1</v>
      </c>
      <c r="E29" s="182">
        <v>0</v>
      </c>
      <c r="F29" s="558">
        <v>1</v>
      </c>
      <c r="G29" s="558">
        <v>1</v>
      </c>
      <c r="H29" s="167">
        <f t="shared" si="7"/>
        <v>1</v>
      </c>
      <c r="I29" s="148">
        <f t="shared" si="18"/>
        <v>1</v>
      </c>
      <c r="J29" s="601" t="s">
        <v>1122</v>
      </c>
      <c r="K29" s="146"/>
      <c r="L29" s="102"/>
      <c r="M29" s="104"/>
      <c r="N29" s="146"/>
      <c r="O29" s="149"/>
      <c r="P29" s="149"/>
      <c r="Q29" s="149"/>
      <c r="R29" s="150"/>
      <c r="S29" s="153"/>
      <c r="T29" s="147">
        <v>4</v>
      </c>
      <c r="U29" s="599">
        <f>SUM(E29:G29)</f>
        <v>2</v>
      </c>
      <c r="V29" s="152">
        <f t="shared" si="20"/>
        <v>0.5</v>
      </c>
      <c r="W29" s="399">
        <v>0.2</v>
      </c>
      <c r="X29" s="393">
        <v>0.2</v>
      </c>
      <c r="Y29" s="452">
        <v>2217537700</v>
      </c>
      <c r="Z29" s="290">
        <v>2817080389.8000002</v>
      </c>
      <c r="AA29" s="290">
        <v>2196156222.4000001</v>
      </c>
      <c r="AB29" s="208">
        <f t="shared" si="2"/>
        <v>0.99035800942640118</v>
      </c>
      <c r="AC29" s="290">
        <v>1748051434.4100001</v>
      </c>
      <c r="AD29" s="520">
        <f t="shared" si="3"/>
        <v>0.78828487759644406</v>
      </c>
      <c r="AE29" s="154">
        <f>+AA29-AC29</f>
        <v>448104787.99000001</v>
      </c>
      <c r="AF29" s="1525">
        <v>2390337209.8000002</v>
      </c>
      <c r="AG29" s="290">
        <v>1770537275.3299999</v>
      </c>
      <c r="AH29" s="506">
        <f t="shared" si="4"/>
        <v>0.74070606777616155</v>
      </c>
      <c r="AI29" s="197">
        <v>6930000000</v>
      </c>
      <c r="AJ29" s="198">
        <f t="shared" si="17"/>
        <v>5013236612.2000008</v>
      </c>
      <c r="AK29" s="167">
        <f t="shared" si="5"/>
        <v>0.72341076655122671</v>
      </c>
      <c r="AL29" s="154"/>
      <c r="AM29" s="155"/>
      <c r="AN29" s="151" t="s">
        <v>302</v>
      </c>
      <c r="AO29" s="1897"/>
      <c r="AP29" s="98"/>
      <c r="AQ29" s="98"/>
    </row>
    <row r="30" spans="1:43" ht="63.75" x14ac:dyDescent="0.25">
      <c r="A30" s="242" t="s">
        <v>530</v>
      </c>
      <c r="B30" s="325" t="s">
        <v>722</v>
      </c>
      <c r="C30" s="147">
        <v>1</v>
      </c>
      <c r="D30" s="298">
        <v>1</v>
      </c>
      <c r="E30" s="182">
        <v>1</v>
      </c>
      <c r="F30" s="147">
        <v>1</v>
      </c>
      <c r="G30" s="147"/>
      <c r="H30" s="167">
        <f t="shared" si="7"/>
        <v>1</v>
      </c>
      <c r="I30" s="148">
        <f t="shared" si="18"/>
        <v>1</v>
      </c>
      <c r="J30" s="151" t="s">
        <v>940</v>
      </c>
      <c r="K30" s="146"/>
      <c r="L30" s="102"/>
      <c r="M30" s="104"/>
      <c r="N30" s="146"/>
      <c r="O30" s="149"/>
      <c r="P30" s="149"/>
      <c r="Q30" s="149"/>
      <c r="R30" s="150"/>
      <c r="S30" s="153"/>
      <c r="T30" s="147">
        <v>4</v>
      </c>
      <c r="U30" s="195">
        <f>SUM(E30:G30)</f>
        <v>2</v>
      </c>
      <c r="V30" s="152">
        <f t="shared" si="20"/>
        <v>0.5</v>
      </c>
      <c r="W30" s="399">
        <v>0.2</v>
      </c>
      <c r="X30" s="393">
        <v>0.2</v>
      </c>
      <c r="Y30" s="452">
        <v>1400000000</v>
      </c>
      <c r="Z30" s="274">
        <v>1573877311</v>
      </c>
      <c r="AA30" s="290">
        <v>1130744278.5599999</v>
      </c>
      <c r="AB30" s="208">
        <f t="shared" si="2"/>
        <v>0.80767448468571423</v>
      </c>
      <c r="AC30" s="290">
        <v>851728517</v>
      </c>
      <c r="AD30" s="520">
        <f t="shared" si="3"/>
        <v>0.60837751214285718</v>
      </c>
      <c r="AE30" s="154">
        <f>+AA30-AC30</f>
        <v>279015761.55999994</v>
      </c>
      <c r="AF30" s="1520">
        <v>1553042170</v>
      </c>
      <c r="AG30" s="274">
        <v>1403042170</v>
      </c>
      <c r="AH30" s="506">
        <f t="shared" si="4"/>
        <v>0.90341537216597279</v>
      </c>
      <c r="AI30" s="197">
        <v>10215000000</v>
      </c>
      <c r="AJ30" s="198">
        <f t="shared" si="17"/>
        <v>2704621589.5599999</v>
      </c>
      <c r="AK30" s="167">
        <f t="shared" si="5"/>
        <v>0.26476961229172785</v>
      </c>
      <c r="AL30" s="154"/>
      <c r="AM30" s="155"/>
      <c r="AN30" s="151" t="s">
        <v>302</v>
      </c>
      <c r="AO30" s="1897"/>
      <c r="AP30" s="98"/>
      <c r="AQ30" s="98"/>
    </row>
    <row r="31" spans="1:43" ht="77.25" thickBot="1" x14ac:dyDescent="0.3">
      <c r="A31" s="246" t="s">
        <v>531</v>
      </c>
      <c r="B31" s="988" t="s">
        <v>723</v>
      </c>
      <c r="C31" s="573">
        <v>1</v>
      </c>
      <c r="D31" s="980">
        <v>1</v>
      </c>
      <c r="E31" s="668">
        <v>1</v>
      </c>
      <c r="F31" s="573">
        <v>2</v>
      </c>
      <c r="G31" s="573"/>
      <c r="H31" s="561">
        <f t="shared" si="7"/>
        <v>1</v>
      </c>
      <c r="I31" s="669">
        <f t="shared" si="18"/>
        <v>1</v>
      </c>
      <c r="J31" s="589" t="s">
        <v>941</v>
      </c>
      <c r="K31" s="568"/>
      <c r="L31" s="177"/>
      <c r="M31" s="178"/>
      <c r="N31" s="568"/>
      <c r="O31" s="168"/>
      <c r="P31" s="168"/>
      <c r="Q31" s="168"/>
      <c r="R31" s="574"/>
      <c r="S31" s="981"/>
      <c r="T31" s="573">
        <v>4</v>
      </c>
      <c r="U31" s="555">
        <f>SUM(E31:G31)</f>
        <v>3</v>
      </c>
      <c r="V31" s="801">
        <f t="shared" si="20"/>
        <v>0.75</v>
      </c>
      <c r="W31" s="982">
        <v>0.1</v>
      </c>
      <c r="X31" s="983">
        <v>0.1</v>
      </c>
      <c r="Y31" s="457">
        <v>300000000</v>
      </c>
      <c r="Z31" s="906">
        <v>25000000</v>
      </c>
      <c r="AA31" s="989">
        <v>295340879</v>
      </c>
      <c r="AB31" s="580">
        <f t="shared" si="2"/>
        <v>0.98446959666666667</v>
      </c>
      <c r="AC31" s="989">
        <v>294799603</v>
      </c>
      <c r="AD31" s="557">
        <f t="shared" si="3"/>
        <v>0.98266534333333333</v>
      </c>
      <c r="AE31" s="163">
        <f>+AA31-AC31</f>
        <v>541276</v>
      </c>
      <c r="AF31" s="1521">
        <v>10000000</v>
      </c>
      <c r="AG31" s="906">
        <v>10000000</v>
      </c>
      <c r="AH31" s="581">
        <f t="shared" si="4"/>
        <v>1</v>
      </c>
      <c r="AI31" s="685">
        <v>3150000000</v>
      </c>
      <c r="AJ31" s="582">
        <f t="shared" si="17"/>
        <v>320340879</v>
      </c>
      <c r="AK31" s="561">
        <f t="shared" si="5"/>
        <v>0.10169551714285714</v>
      </c>
      <c r="AL31" s="163"/>
      <c r="AM31" s="162"/>
      <c r="AN31" s="589" t="s">
        <v>302</v>
      </c>
      <c r="AO31" s="1760" t="s">
        <v>897</v>
      </c>
      <c r="AP31" s="594"/>
      <c r="AQ31" s="594"/>
    </row>
    <row r="32" spans="1:43" s="554" customFormat="1" ht="26.25" thickBot="1" x14ac:dyDescent="0.3">
      <c r="A32" s="628" t="s">
        <v>427</v>
      </c>
      <c r="B32" s="629"/>
      <c r="C32" s="630"/>
      <c r="D32" s="631"/>
      <c r="E32" s="632"/>
      <c r="F32" s="630"/>
      <c r="G32" s="630"/>
      <c r="H32" s="644">
        <f>+(H33*W33)+(H37*W37)+(H45*W45)</f>
        <v>0.89024999999999999</v>
      </c>
      <c r="I32" s="644">
        <f>+(I33*X33)+(I37*X37)+(I45*X45)</f>
        <v>0.85733333333333328</v>
      </c>
      <c r="J32" s="637"/>
      <c r="K32" s="629"/>
      <c r="L32" s="968"/>
      <c r="M32" s="968"/>
      <c r="N32" s="968"/>
      <c r="O32" s="636"/>
      <c r="P32" s="636"/>
      <c r="Q32" s="636"/>
      <c r="R32" s="639"/>
      <c r="S32" s="969"/>
      <c r="T32" s="838"/>
      <c r="U32" s="641"/>
      <c r="V32" s="839">
        <f>+(V33*W33)+(V37*W37)+(V45*W45)</f>
        <v>0.52830694444444448</v>
      </c>
      <c r="W32" s="633">
        <v>0.25</v>
      </c>
      <c r="X32" s="970">
        <v>0.25</v>
      </c>
      <c r="Y32" s="642">
        <f>+Y33+Y37+Y45</f>
        <v>19549452866</v>
      </c>
      <c r="Z32" s="642">
        <f>+Z33+Z37+Z45</f>
        <v>1659050070</v>
      </c>
      <c r="AA32" s="642">
        <f>+AA33+AA37+AA45</f>
        <v>19181525696.200001</v>
      </c>
      <c r="AB32" s="643">
        <f t="shared" si="2"/>
        <v>0.98117966920496835</v>
      </c>
      <c r="AC32" s="642">
        <f>+AC33+AC37+AC45</f>
        <v>8942596167</v>
      </c>
      <c r="AD32" s="644">
        <f t="shared" si="3"/>
        <v>0.45743460076843256</v>
      </c>
      <c r="AE32" s="629">
        <f>+AE33+AE37+AE45</f>
        <v>10238929529.200001</v>
      </c>
      <c r="AF32" s="637">
        <f>+AF33+AF37+AF45</f>
        <v>1396500070</v>
      </c>
      <c r="AG32" s="642">
        <f>+AG33+AG37+AG45</f>
        <v>911592980</v>
      </c>
      <c r="AH32" s="645">
        <f t="shared" si="4"/>
        <v>0.65276973455504372</v>
      </c>
      <c r="AI32" s="1737">
        <f>+AI33+AI37+AI45</f>
        <v>20840000000</v>
      </c>
      <c r="AJ32" s="642">
        <f>+AJ33+AJ37+AJ45</f>
        <v>20840575766.200001</v>
      </c>
      <c r="AK32" s="646">
        <f t="shared" si="5"/>
        <v>1.0000276279366602</v>
      </c>
      <c r="AL32" s="629"/>
      <c r="AM32" s="636" t="s">
        <v>295</v>
      </c>
      <c r="AN32" s="637"/>
      <c r="AO32" s="629"/>
      <c r="AP32" s="634"/>
      <c r="AQ32" s="634"/>
    </row>
    <row r="33" spans="1:43" ht="13.5" thickBot="1" x14ac:dyDescent="0.3">
      <c r="A33" s="742" t="s">
        <v>456</v>
      </c>
      <c r="B33" s="743"/>
      <c r="C33" s="744"/>
      <c r="D33" s="745"/>
      <c r="E33" s="746"/>
      <c r="F33" s="744"/>
      <c r="G33" s="744"/>
      <c r="H33" s="747">
        <f>+(H34*50%)+(H35*50%)</f>
        <v>0.82250000000000001</v>
      </c>
      <c r="I33" s="747">
        <f>+SUMPRODUCT(I34:I36,X34:X36)</f>
        <v>0.37333333333333335</v>
      </c>
      <c r="J33" s="750"/>
      <c r="K33" s="743"/>
      <c r="L33" s="749"/>
      <c r="M33" s="750"/>
      <c r="N33" s="750"/>
      <c r="O33" s="749"/>
      <c r="P33" s="749"/>
      <c r="Q33" s="749"/>
      <c r="R33" s="749"/>
      <c r="S33" s="760"/>
      <c r="T33" s="826"/>
      <c r="U33" s="754"/>
      <c r="V33" s="997">
        <f>+SUMPRODUCT(V34:V36,W34:W36)</f>
        <v>0.41640277777777779</v>
      </c>
      <c r="W33" s="807">
        <v>0.1</v>
      </c>
      <c r="X33" s="953">
        <v>0.1</v>
      </c>
      <c r="Y33" s="757">
        <f>SUM(Y34:Y36)</f>
        <v>700000000</v>
      </c>
      <c r="Z33" s="757">
        <f>SUM(Z34:Z36)</f>
        <v>162750000</v>
      </c>
      <c r="AA33" s="757">
        <f>SUM(AA34:AA36)</f>
        <v>695340879</v>
      </c>
      <c r="AB33" s="758">
        <f t="shared" si="2"/>
        <v>0.99334411285714286</v>
      </c>
      <c r="AC33" s="757">
        <f>SUM(AC34:AC36)</f>
        <v>665439603</v>
      </c>
      <c r="AD33" s="748">
        <f t="shared" si="3"/>
        <v>0.95062800428571426</v>
      </c>
      <c r="AE33" s="928">
        <f>SUM(AE34:AE36)</f>
        <v>29901276</v>
      </c>
      <c r="AF33" s="1523">
        <f>SUM(AF34:AF36)</f>
        <v>42350000</v>
      </c>
      <c r="AG33" s="757">
        <f>SUM(AG34:AG36)</f>
        <v>42350000</v>
      </c>
      <c r="AH33" s="760">
        <f t="shared" si="4"/>
        <v>1</v>
      </c>
      <c r="AI33" s="1734">
        <f>SUM(AI34:AI36)</f>
        <v>2000000000</v>
      </c>
      <c r="AJ33" s="757">
        <f>SUM(AJ34:AJ36)</f>
        <v>858090879</v>
      </c>
      <c r="AK33" s="747">
        <f t="shared" si="5"/>
        <v>0.42904543950000001</v>
      </c>
      <c r="AL33" s="928"/>
      <c r="AM33" s="761"/>
      <c r="AN33" s="210"/>
      <c r="AO33" s="928"/>
      <c r="AP33" s="213"/>
      <c r="AQ33" s="213"/>
    </row>
    <row r="34" spans="1:43" ht="51" x14ac:dyDescent="0.25">
      <c r="A34" s="243" t="s">
        <v>532</v>
      </c>
      <c r="B34" s="326" t="s">
        <v>724</v>
      </c>
      <c r="C34" s="792">
        <v>0.4</v>
      </c>
      <c r="D34" s="729">
        <v>0.6</v>
      </c>
      <c r="E34" s="986">
        <v>0.16</v>
      </c>
      <c r="F34" s="987">
        <v>0.52</v>
      </c>
      <c r="G34" s="987">
        <v>0.15</v>
      </c>
      <c r="H34" s="729">
        <f>IF((E34+G34)/C34&gt;=100%,100%,(E34+G34)/C34)</f>
        <v>0.77499999999999991</v>
      </c>
      <c r="I34" s="910">
        <f t="shared" ref="I34:I36" si="21">IF(F34/D34&gt;=100%,100%,F34/D34)</f>
        <v>0.8666666666666667</v>
      </c>
      <c r="J34" s="602" t="s">
        <v>1110</v>
      </c>
      <c r="K34" s="1587"/>
      <c r="L34" s="1588"/>
      <c r="M34" s="1589"/>
      <c r="N34" s="1587"/>
      <c r="O34" s="1590"/>
      <c r="P34" s="1590"/>
      <c r="Q34" s="1590"/>
      <c r="R34" s="1591"/>
      <c r="S34" s="1097"/>
      <c r="T34" s="987">
        <v>0.9</v>
      </c>
      <c r="U34" s="1592">
        <f>SUM(E34:G34)</f>
        <v>0.83000000000000007</v>
      </c>
      <c r="V34" s="152">
        <f t="shared" si="19"/>
        <v>0.92222222222222228</v>
      </c>
      <c r="W34" s="399">
        <v>0.35</v>
      </c>
      <c r="X34" s="393">
        <v>0.35</v>
      </c>
      <c r="Y34" s="453">
        <v>200000000</v>
      </c>
      <c r="Z34" s="275">
        <v>77150000</v>
      </c>
      <c r="AA34" s="275">
        <v>200000000</v>
      </c>
      <c r="AB34" s="738">
        <f t="shared" si="2"/>
        <v>1</v>
      </c>
      <c r="AC34" s="275">
        <v>188000000</v>
      </c>
      <c r="AD34" s="730">
        <f t="shared" si="3"/>
        <v>0.94</v>
      </c>
      <c r="AE34" s="773">
        <f>+AA34-AC34</f>
        <v>12000000</v>
      </c>
      <c r="AF34" s="1519">
        <v>20850000</v>
      </c>
      <c r="AG34" s="275">
        <v>20850000</v>
      </c>
      <c r="AH34" s="506">
        <f t="shared" si="4"/>
        <v>1</v>
      </c>
      <c r="AI34" s="921">
        <v>700000000</v>
      </c>
      <c r="AJ34" s="740">
        <f t="shared" si="17"/>
        <v>277150000</v>
      </c>
      <c r="AK34" s="729">
        <f t="shared" si="5"/>
        <v>0.39592857142857141</v>
      </c>
      <c r="AL34" s="773"/>
      <c r="AM34" s="171"/>
      <c r="AN34" s="591" t="s">
        <v>302</v>
      </c>
      <c r="AO34" s="1921" t="s">
        <v>898</v>
      </c>
      <c r="AP34" s="595"/>
      <c r="AQ34" s="595"/>
    </row>
    <row r="35" spans="1:43" ht="38.25" x14ac:dyDescent="0.25">
      <c r="A35" s="243" t="s">
        <v>533</v>
      </c>
      <c r="B35" s="327" t="s">
        <v>726</v>
      </c>
      <c r="C35" s="169">
        <v>1</v>
      </c>
      <c r="D35" s="167">
        <v>1</v>
      </c>
      <c r="E35" s="224">
        <v>0.87</v>
      </c>
      <c r="F35" s="169">
        <v>0.2</v>
      </c>
      <c r="G35" s="147"/>
      <c r="H35" s="167">
        <f t="shared" ref="H35:H36" si="22">IF((E35+G35)/C35&gt;=100%,100%,(E35+G35)/C35)</f>
        <v>0.87</v>
      </c>
      <c r="I35" s="148">
        <f t="shared" si="21"/>
        <v>0.2</v>
      </c>
      <c r="J35" s="601" t="s">
        <v>1111</v>
      </c>
      <c r="K35" s="1085"/>
      <c r="L35" s="1583"/>
      <c r="M35" s="1584"/>
      <c r="N35" s="1085"/>
      <c r="O35" s="1089"/>
      <c r="P35" s="1089"/>
      <c r="Q35" s="1089"/>
      <c r="R35" s="1091"/>
      <c r="S35" s="1593"/>
      <c r="T35" s="600">
        <v>4</v>
      </c>
      <c r="U35" s="598">
        <f>SUM(E35:G35)</f>
        <v>1.07</v>
      </c>
      <c r="V35" s="152">
        <f t="shared" ref="V35:V36" si="23">IF(U35/T35&gt;=100%,100%,U35/T35)</f>
        <v>0.26750000000000002</v>
      </c>
      <c r="W35" s="399">
        <v>0.35</v>
      </c>
      <c r="X35" s="393">
        <v>0.35</v>
      </c>
      <c r="Y35" s="453">
        <v>200000000</v>
      </c>
      <c r="Z35" s="274">
        <v>85600000</v>
      </c>
      <c r="AA35" s="274">
        <v>200000000</v>
      </c>
      <c r="AB35" s="208">
        <f t="shared" si="2"/>
        <v>1</v>
      </c>
      <c r="AC35" s="274">
        <v>182640000</v>
      </c>
      <c r="AD35" s="520">
        <f t="shared" si="3"/>
        <v>0.91320000000000001</v>
      </c>
      <c r="AE35" s="154">
        <f>+AA35-AC35</f>
        <v>17360000</v>
      </c>
      <c r="AF35" s="1520">
        <v>21500000</v>
      </c>
      <c r="AG35" s="274">
        <v>21500000</v>
      </c>
      <c r="AH35" s="506">
        <f t="shared" si="4"/>
        <v>1</v>
      </c>
      <c r="AI35" s="197">
        <v>700000000</v>
      </c>
      <c r="AJ35" s="198">
        <f t="shared" si="17"/>
        <v>285600000</v>
      </c>
      <c r="AK35" s="167">
        <f t="shared" si="5"/>
        <v>0.40799999999999997</v>
      </c>
      <c r="AL35" s="154"/>
      <c r="AM35" s="155"/>
      <c r="AN35" s="151" t="s">
        <v>7</v>
      </c>
      <c r="AO35" s="1897"/>
      <c r="AP35" s="98"/>
      <c r="AQ35" s="98"/>
    </row>
    <row r="36" spans="1:43" ht="102.75" thickBot="1" x14ac:dyDescent="0.3">
      <c r="A36" s="245" t="s">
        <v>534</v>
      </c>
      <c r="B36" s="979" t="s">
        <v>725</v>
      </c>
      <c r="C36" s="573">
        <v>0</v>
      </c>
      <c r="D36" s="980">
        <v>1</v>
      </c>
      <c r="E36" s="668">
        <v>0</v>
      </c>
      <c r="F36" s="573">
        <v>0</v>
      </c>
      <c r="G36" s="573"/>
      <c r="H36" s="561" t="e">
        <f t="shared" si="22"/>
        <v>#DIV/0!</v>
      </c>
      <c r="I36" s="669">
        <f t="shared" si="21"/>
        <v>0</v>
      </c>
      <c r="J36" s="589" t="s">
        <v>942</v>
      </c>
      <c r="K36" s="568"/>
      <c r="L36" s="177"/>
      <c r="M36" s="178"/>
      <c r="N36" s="568"/>
      <c r="O36" s="168"/>
      <c r="P36" s="168"/>
      <c r="Q36" s="168"/>
      <c r="R36" s="574"/>
      <c r="S36" s="981"/>
      <c r="T36" s="573">
        <v>2</v>
      </c>
      <c r="U36" s="561">
        <f>SUM(E36:G36)</f>
        <v>0</v>
      </c>
      <c r="V36" s="801">
        <f t="shared" si="23"/>
        <v>0</v>
      </c>
      <c r="W36" s="982">
        <v>0.3</v>
      </c>
      <c r="X36" s="983">
        <v>0.3</v>
      </c>
      <c r="Y36" s="984">
        <v>300000000</v>
      </c>
      <c r="Z36" s="985" t="s">
        <v>892</v>
      </c>
      <c r="AA36" s="906">
        <v>295340879</v>
      </c>
      <c r="AB36" s="580">
        <f t="shared" si="2"/>
        <v>0.98446959666666667</v>
      </c>
      <c r="AC36" s="906">
        <v>294799603</v>
      </c>
      <c r="AD36" s="557">
        <f t="shared" si="3"/>
        <v>0.98266534333333333</v>
      </c>
      <c r="AE36" s="163">
        <f>+AA36-AC36</f>
        <v>541276</v>
      </c>
      <c r="AF36" s="1526">
        <v>0</v>
      </c>
      <c r="AG36" s="985">
        <v>0</v>
      </c>
      <c r="AH36" s="581" t="e">
        <f t="shared" si="4"/>
        <v>#DIV/0!</v>
      </c>
      <c r="AI36" s="1733">
        <v>600000000</v>
      </c>
      <c r="AJ36" s="582">
        <f t="shared" si="17"/>
        <v>295340879</v>
      </c>
      <c r="AK36" s="561">
        <f t="shared" si="5"/>
        <v>0.49223479833333333</v>
      </c>
      <c r="AL36" s="163"/>
      <c r="AM36" s="162"/>
      <c r="AN36" s="589" t="s">
        <v>302</v>
      </c>
      <c r="AO36" s="1761" t="s">
        <v>896</v>
      </c>
      <c r="AP36" s="594"/>
      <c r="AQ36" s="594"/>
    </row>
    <row r="37" spans="1:43" ht="26.25" thickBot="1" x14ac:dyDescent="0.3">
      <c r="A37" s="742" t="s">
        <v>457</v>
      </c>
      <c r="B37" s="743"/>
      <c r="C37" s="744"/>
      <c r="D37" s="745"/>
      <c r="E37" s="746"/>
      <c r="F37" s="744"/>
      <c r="G37" s="744"/>
      <c r="H37" s="748">
        <f>+(H38*30%)+(H39*35%)+(H40*23%)+(H43*12%)</f>
        <v>0.76999999999999991</v>
      </c>
      <c r="I37" s="747">
        <f>+SUMPRODUCT(I38:I44,X38:X44)</f>
        <v>0.79999999999999993</v>
      </c>
      <c r="J37" s="750"/>
      <c r="K37" s="743"/>
      <c r="L37" s="951"/>
      <c r="M37" s="951"/>
      <c r="N37" s="951"/>
      <c r="O37" s="749"/>
      <c r="P37" s="749"/>
      <c r="Q37" s="749"/>
      <c r="R37" s="752"/>
      <c r="S37" s="952"/>
      <c r="T37" s="826"/>
      <c r="U37" s="754"/>
      <c r="V37" s="1586">
        <f>+SUMPRODUCT(V38:V44,W38:W44)</f>
        <v>0.46666666666666667</v>
      </c>
      <c r="W37" s="807">
        <v>0.4</v>
      </c>
      <c r="X37" s="953">
        <v>0.4</v>
      </c>
      <c r="Y37" s="757">
        <f>SUM(Y38:Y44)</f>
        <v>1980000000</v>
      </c>
      <c r="Z37" s="757">
        <f>SUM(Z38:Z44)</f>
        <v>919742980</v>
      </c>
      <c r="AA37" s="757">
        <f>SUM(AA38:AA44)</f>
        <v>1950651505.2</v>
      </c>
      <c r="AB37" s="758">
        <f t="shared" si="2"/>
        <v>0.98517752787878787</v>
      </c>
      <c r="AC37" s="757">
        <f>SUM(AC38:AC44)</f>
        <v>1366882913</v>
      </c>
      <c r="AD37" s="748">
        <f t="shared" si="3"/>
        <v>0.69034490555555561</v>
      </c>
      <c r="AE37" s="928">
        <f>SUM(AE38:AE44)</f>
        <v>583768592.20000005</v>
      </c>
      <c r="AF37" s="1616">
        <f>SUM(AF38:AF44)</f>
        <v>828892980</v>
      </c>
      <c r="AG37" s="757">
        <f>SUM(AG38:AG44)</f>
        <v>828892980</v>
      </c>
      <c r="AH37" s="760">
        <f t="shared" si="4"/>
        <v>1</v>
      </c>
      <c r="AI37" s="1734">
        <f>SUM(AI38:AI44)</f>
        <v>7760000000</v>
      </c>
      <c r="AJ37" s="757">
        <f>SUM(AJ38:AJ44)</f>
        <v>2870394485.1999998</v>
      </c>
      <c r="AK37" s="1617">
        <f t="shared" si="5"/>
        <v>0.36989619654639172</v>
      </c>
      <c r="AL37" s="928"/>
      <c r="AM37" s="761"/>
      <c r="AN37" s="210"/>
      <c r="AO37" s="928"/>
      <c r="AP37" s="213"/>
      <c r="AQ37" s="213"/>
    </row>
    <row r="38" spans="1:43" ht="76.5" x14ac:dyDescent="0.25">
      <c r="A38" s="244" t="s">
        <v>535</v>
      </c>
      <c r="B38" s="328" t="s">
        <v>732</v>
      </c>
      <c r="C38" s="792">
        <v>1</v>
      </c>
      <c r="D38" s="729">
        <v>1</v>
      </c>
      <c r="E38" s="986">
        <v>0.93</v>
      </c>
      <c r="F38" s="792">
        <v>1</v>
      </c>
      <c r="G38" s="792">
        <v>7.0000000000000007E-2</v>
      </c>
      <c r="H38" s="729">
        <f>IF((E38+G38)/C38&gt;=100%,100%,(E38+G38)/C38)</f>
        <v>1</v>
      </c>
      <c r="I38" s="910">
        <f>IF(F38/D38&gt;=100%,100%,F38/D38)</f>
        <v>1</v>
      </c>
      <c r="J38" s="591" t="s">
        <v>943</v>
      </c>
      <c r="K38" s="585"/>
      <c r="L38" s="731"/>
      <c r="M38" s="732"/>
      <c r="N38" s="585"/>
      <c r="O38" s="176"/>
      <c r="P38" s="176"/>
      <c r="Q38" s="176"/>
      <c r="R38" s="734"/>
      <c r="S38" s="948"/>
      <c r="T38" s="987">
        <v>4</v>
      </c>
      <c r="U38" s="1592">
        <f>SUM(E38:G38)</f>
        <v>2</v>
      </c>
      <c r="V38" s="1594">
        <f t="shared" ref="V38" si="24">IF(U38/T38&gt;=100%,100%,U38/T38)</f>
        <v>0.5</v>
      </c>
      <c r="W38" s="400">
        <v>0.1</v>
      </c>
      <c r="X38" s="1595">
        <v>0.2</v>
      </c>
      <c r="Y38" s="454">
        <v>170000000</v>
      </c>
      <c r="Z38" s="275">
        <v>70850000</v>
      </c>
      <c r="AA38" s="275">
        <v>170000000</v>
      </c>
      <c r="AB38" s="1596">
        <f t="shared" si="2"/>
        <v>1</v>
      </c>
      <c r="AC38" s="275">
        <v>166500000</v>
      </c>
      <c r="AD38" s="1597">
        <f t="shared" si="3"/>
        <v>0.97941176470588232</v>
      </c>
      <c r="AE38" s="1598">
        <f>+AA38-AC38</f>
        <v>3500000</v>
      </c>
      <c r="AF38" s="1522">
        <v>17500000</v>
      </c>
      <c r="AG38" s="275">
        <v>17500000</v>
      </c>
      <c r="AH38" s="1097">
        <f t="shared" si="4"/>
        <v>1</v>
      </c>
      <c r="AI38" s="1661">
        <v>630000000</v>
      </c>
      <c r="AJ38" s="1599">
        <f t="shared" si="17"/>
        <v>240850000</v>
      </c>
      <c r="AK38" s="1592">
        <f t="shared" si="5"/>
        <v>0.38230158730158731</v>
      </c>
      <c r="AL38" s="1598"/>
      <c r="AM38" s="1600"/>
      <c r="AN38" s="602" t="s">
        <v>29</v>
      </c>
      <c r="AO38" s="328" t="s">
        <v>894</v>
      </c>
      <c r="AP38" s="595"/>
      <c r="AQ38" s="595"/>
    </row>
    <row r="39" spans="1:43" ht="76.5" x14ac:dyDescent="0.25">
      <c r="A39" s="244" t="s">
        <v>536</v>
      </c>
      <c r="B39" s="329" t="s">
        <v>727</v>
      </c>
      <c r="C39" s="365">
        <v>1</v>
      </c>
      <c r="D39" s="299">
        <v>1</v>
      </c>
      <c r="E39" s="182">
        <v>1</v>
      </c>
      <c r="F39" s="147">
        <v>1</v>
      </c>
      <c r="G39" s="147"/>
      <c r="H39" s="167">
        <f t="shared" ref="H39:H48" si="25">IF((E39+G39)/C39&gt;=100%,100%,(E39+G39)/C39)</f>
        <v>1</v>
      </c>
      <c r="I39" s="148">
        <f t="shared" ref="I39:I44" si="26">IF(F39/D39&gt;=100%,100%,F39/D39)</f>
        <v>1</v>
      </c>
      <c r="J39" s="151" t="s">
        <v>944</v>
      </c>
      <c r="K39" s="146"/>
      <c r="L39" s="102"/>
      <c r="M39" s="104"/>
      <c r="N39" s="146"/>
      <c r="O39" s="149"/>
      <c r="P39" s="149"/>
      <c r="Q39" s="149"/>
      <c r="R39" s="150"/>
      <c r="S39" s="156"/>
      <c r="T39" s="558">
        <v>4</v>
      </c>
      <c r="U39" s="599">
        <f>SUM(E39:G39)</f>
        <v>2</v>
      </c>
      <c r="V39" s="1594">
        <f t="shared" ref="V39:V42" si="27">IF(U39/T39&gt;=100%,100%,U39/T39)</f>
        <v>0.5</v>
      </c>
      <c r="W39" s="400">
        <v>0.3</v>
      </c>
      <c r="X39" s="1579">
        <v>0.3</v>
      </c>
      <c r="Y39" s="454">
        <v>900000000</v>
      </c>
      <c r="Z39" s="274">
        <v>599224500</v>
      </c>
      <c r="AA39" s="274">
        <v>883408011</v>
      </c>
      <c r="AB39" s="1095">
        <f t="shared" si="2"/>
        <v>0.9815644566666667</v>
      </c>
      <c r="AC39" s="274">
        <v>463150138</v>
      </c>
      <c r="AD39" s="1096">
        <f t="shared" si="3"/>
        <v>0.51461126444444449</v>
      </c>
      <c r="AE39" s="1601">
        <f>+AA39-AC39</f>
        <v>420257873</v>
      </c>
      <c r="AF39" s="1520">
        <v>599224500</v>
      </c>
      <c r="AG39" s="274">
        <v>599224500</v>
      </c>
      <c r="AH39" s="1097">
        <f t="shared" si="4"/>
        <v>1</v>
      </c>
      <c r="AI39" s="1693">
        <v>4200000000</v>
      </c>
      <c r="AJ39" s="1603">
        <f t="shared" si="17"/>
        <v>1482632511</v>
      </c>
      <c r="AK39" s="598">
        <f t="shared" si="5"/>
        <v>0.3530077407142857</v>
      </c>
      <c r="AL39" s="1601"/>
      <c r="AM39" s="1604"/>
      <c r="AN39" s="601" t="s">
        <v>302</v>
      </c>
      <c r="AO39" s="1922" t="s">
        <v>899</v>
      </c>
      <c r="AP39" s="98"/>
      <c r="AQ39" s="98"/>
    </row>
    <row r="40" spans="1:43" ht="63.75" x14ac:dyDescent="0.25">
      <c r="A40" s="244" t="s">
        <v>537</v>
      </c>
      <c r="B40" s="329" t="s">
        <v>728</v>
      </c>
      <c r="C40" s="365">
        <v>1</v>
      </c>
      <c r="D40" s="299">
        <v>1</v>
      </c>
      <c r="E40" s="182">
        <v>0</v>
      </c>
      <c r="F40" s="147">
        <v>0</v>
      </c>
      <c r="G40" s="147"/>
      <c r="H40" s="167">
        <f t="shared" si="25"/>
        <v>0</v>
      </c>
      <c r="I40" s="148">
        <f t="shared" si="26"/>
        <v>0</v>
      </c>
      <c r="J40" s="151" t="s">
        <v>945</v>
      </c>
      <c r="K40" s="146"/>
      <c r="L40" s="102"/>
      <c r="M40" s="104"/>
      <c r="N40" s="146"/>
      <c r="O40" s="149"/>
      <c r="P40" s="149"/>
      <c r="Q40" s="149"/>
      <c r="R40" s="150"/>
      <c r="S40" s="156"/>
      <c r="T40" s="558">
        <v>4</v>
      </c>
      <c r="U40" s="599">
        <f>SUM(E40:G40)</f>
        <v>0</v>
      </c>
      <c r="V40" s="1594">
        <f t="shared" si="27"/>
        <v>0</v>
      </c>
      <c r="W40" s="400">
        <v>0.2</v>
      </c>
      <c r="X40" s="1579">
        <v>0.2</v>
      </c>
      <c r="Y40" s="454">
        <v>260000000</v>
      </c>
      <c r="Z40" s="447" t="s">
        <v>892</v>
      </c>
      <c r="AA40" s="274">
        <v>254533137</v>
      </c>
      <c r="AB40" s="1095">
        <f t="shared" si="2"/>
        <v>0.97897360384615384</v>
      </c>
      <c r="AC40" s="274">
        <v>129012074</v>
      </c>
      <c r="AD40" s="598">
        <f t="shared" si="3"/>
        <v>0.49620028461538462</v>
      </c>
      <c r="AE40" s="1601">
        <f>+AA40-AC40</f>
        <v>125521063</v>
      </c>
      <c r="AF40" s="1527" t="s">
        <v>892</v>
      </c>
      <c r="AG40" s="447" t="s">
        <v>892</v>
      </c>
      <c r="AH40" s="1097" t="e">
        <f t="shared" si="4"/>
        <v>#DIV/0!</v>
      </c>
      <c r="AI40" s="1693">
        <v>1400000000</v>
      </c>
      <c r="AJ40" s="1603">
        <f t="shared" si="17"/>
        <v>254533137</v>
      </c>
      <c r="AK40" s="598">
        <f t="shared" si="5"/>
        <v>0.18180938357142856</v>
      </c>
      <c r="AL40" s="1601"/>
      <c r="AM40" s="1604"/>
      <c r="AN40" s="601" t="s">
        <v>302</v>
      </c>
      <c r="AO40" s="1898"/>
      <c r="AP40" s="98"/>
      <c r="AQ40" s="98"/>
    </row>
    <row r="41" spans="1:43" ht="51" x14ac:dyDescent="0.25">
      <c r="A41" s="244" t="s">
        <v>538</v>
      </c>
      <c r="B41" s="330" t="s">
        <v>733</v>
      </c>
      <c r="C41" s="365">
        <v>0</v>
      </c>
      <c r="D41" s="299">
        <v>1</v>
      </c>
      <c r="E41" s="182">
        <v>0</v>
      </c>
      <c r="F41" s="147">
        <v>1</v>
      </c>
      <c r="G41" s="147"/>
      <c r="H41" s="167" t="e">
        <f t="shared" si="25"/>
        <v>#DIV/0!</v>
      </c>
      <c r="I41" s="148">
        <f t="shared" si="26"/>
        <v>1</v>
      </c>
      <c r="J41" s="151" t="s">
        <v>946</v>
      </c>
      <c r="K41" s="146"/>
      <c r="L41" s="102"/>
      <c r="M41" s="104"/>
      <c r="N41" s="146"/>
      <c r="O41" s="149"/>
      <c r="P41" s="149"/>
      <c r="Q41" s="149"/>
      <c r="R41" s="150"/>
      <c r="S41" s="156"/>
      <c r="T41" s="1605">
        <v>1</v>
      </c>
      <c r="U41" s="599">
        <f t="shared" ref="U41:U44" si="28">SUM(E41:G41)</f>
        <v>1</v>
      </c>
      <c r="V41" s="1594">
        <f t="shared" si="27"/>
        <v>1</v>
      </c>
      <c r="W41" s="400">
        <v>0.1</v>
      </c>
      <c r="X41" s="1579">
        <v>0.1</v>
      </c>
      <c r="Y41" s="455">
        <v>490000000</v>
      </c>
      <c r="Z41" s="448" t="s">
        <v>892</v>
      </c>
      <c r="AA41" s="274">
        <v>485294769</v>
      </c>
      <c r="AB41" s="1095">
        <f t="shared" si="2"/>
        <v>0.99039748775510206</v>
      </c>
      <c r="AC41" s="274">
        <v>468731314</v>
      </c>
      <c r="AD41" s="1096">
        <f t="shared" si="3"/>
        <v>0.95659451836734699</v>
      </c>
      <c r="AE41" s="1601">
        <f>+AA41-AC41</f>
        <v>16563455</v>
      </c>
      <c r="AF41" s="1528" t="s">
        <v>892</v>
      </c>
      <c r="AG41" s="448" t="s">
        <v>892</v>
      </c>
      <c r="AH41" s="1097" t="e">
        <f t="shared" si="4"/>
        <v>#DIV/0!</v>
      </c>
      <c r="AI41" s="1693">
        <v>700000000</v>
      </c>
      <c r="AJ41" s="1603">
        <f t="shared" si="17"/>
        <v>485294769</v>
      </c>
      <c r="AK41" s="599">
        <f t="shared" si="5"/>
        <v>0.69327824142857142</v>
      </c>
      <c r="AL41" s="1601"/>
      <c r="AM41" s="1604"/>
      <c r="AN41" s="601" t="s">
        <v>22</v>
      </c>
      <c r="AO41" s="1923" t="s">
        <v>899</v>
      </c>
      <c r="AP41" s="98"/>
      <c r="AQ41" s="98"/>
    </row>
    <row r="42" spans="1:43" ht="51" x14ac:dyDescent="0.25">
      <c r="A42" s="244" t="s">
        <v>539</v>
      </c>
      <c r="B42" s="331" t="s">
        <v>729</v>
      </c>
      <c r="C42" s="365">
        <v>0</v>
      </c>
      <c r="D42" s="299">
        <v>1</v>
      </c>
      <c r="E42" s="182">
        <v>0</v>
      </c>
      <c r="F42" s="147">
        <v>1</v>
      </c>
      <c r="G42" s="147"/>
      <c r="H42" s="167" t="e">
        <f t="shared" si="25"/>
        <v>#DIV/0!</v>
      </c>
      <c r="I42" s="148">
        <f t="shared" si="26"/>
        <v>1</v>
      </c>
      <c r="J42" s="151" t="s">
        <v>947</v>
      </c>
      <c r="K42" s="146"/>
      <c r="L42" s="102"/>
      <c r="M42" s="104"/>
      <c r="N42" s="146"/>
      <c r="O42" s="149"/>
      <c r="P42" s="149"/>
      <c r="Q42" s="149"/>
      <c r="R42" s="150"/>
      <c r="S42" s="156"/>
      <c r="T42" s="1605">
        <v>3</v>
      </c>
      <c r="U42" s="599">
        <f t="shared" si="28"/>
        <v>1</v>
      </c>
      <c r="V42" s="1594">
        <f t="shared" si="27"/>
        <v>0.33333333333333331</v>
      </c>
      <c r="W42" s="400">
        <v>0.1</v>
      </c>
      <c r="X42" s="1579">
        <v>0.1</v>
      </c>
      <c r="Y42" s="1606">
        <v>100000000</v>
      </c>
      <c r="Z42" s="276" t="s">
        <v>892</v>
      </c>
      <c r="AA42" s="274">
        <v>98347412</v>
      </c>
      <c r="AB42" s="1095">
        <f t="shared" si="2"/>
        <v>0.98347412000000001</v>
      </c>
      <c r="AC42" s="274">
        <v>81178105</v>
      </c>
      <c r="AD42" s="1096">
        <f t="shared" si="3"/>
        <v>0.81178105</v>
      </c>
      <c r="AE42" s="1601">
        <f>+AA42-AC42</f>
        <v>17169307</v>
      </c>
      <c r="AF42" s="1529" t="s">
        <v>892</v>
      </c>
      <c r="AG42" s="276" t="s">
        <v>892</v>
      </c>
      <c r="AH42" s="1097" t="e">
        <f t="shared" si="4"/>
        <v>#DIV/0!</v>
      </c>
      <c r="AI42" s="1693">
        <v>300000000</v>
      </c>
      <c r="AJ42" s="1603">
        <f t="shared" si="17"/>
        <v>98347412</v>
      </c>
      <c r="AK42" s="598">
        <f t="shared" si="5"/>
        <v>0.32782470666666669</v>
      </c>
      <c r="AL42" s="1601"/>
      <c r="AM42" s="1604"/>
      <c r="AN42" s="601" t="s">
        <v>302</v>
      </c>
      <c r="AO42" s="1897"/>
      <c r="AP42" s="98"/>
      <c r="AQ42" s="98"/>
    </row>
    <row r="43" spans="1:43" ht="51" x14ac:dyDescent="0.25">
      <c r="A43" s="244" t="s">
        <v>540</v>
      </c>
      <c r="B43" s="331" t="s">
        <v>730</v>
      </c>
      <c r="C43" s="365">
        <v>1</v>
      </c>
      <c r="D43" s="299">
        <v>0</v>
      </c>
      <c r="E43" s="182">
        <v>0</v>
      </c>
      <c r="F43" s="147">
        <v>0</v>
      </c>
      <c r="G43" s="147">
        <v>1</v>
      </c>
      <c r="H43" s="167">
        <f t="shared" si="25"/>
        <v>1</v>
      </c>
      <c r="I43" s="148">
        <v>0</v>
      </c>
      <c r="J43" s="601" t="s">
        <v>1124</v>
      </c>
      <c r="K43" s="146"/>
      <c r="L43" s="102"/>
      <c r="M43" s="104"/>
      <c r="N43" s="146"/>
      <c r="O43" s="149"/>
      <c r="P43" s="149"/>
      <c r="Q43" s="149"/>
      <c r="R43" s="150"/>
      <c r="S43" s="149"/>
      <c r="T43" s="1605">
        <v>1</v>
      </c>
      <c r="U43" s="599">
        <f t="shared" si="28"/>
        <v>1</v>
      </c>
      <c r="V43" s="1594">
        <f t="shared" ref="V43:V44" si="29">IF(U43/T43&gt;=100%,100%,U43/T43)</f>
        <v>1</v>
      </c>
      <c r="W43" s="400">
        <v>0.1</v>
      </c>
      <c r="X43" s="1579">
        <v>0</v>
      </c>
      <c r="Y43" s="454">
        <v>0</v>
      </c>
      <c r="Z43" s="274">
        <v>249668480</v>
      </c>
      <c r="AA43" s="274">
        <v>0</v>
      </c>
      <c r="AB43" s="1095" t="e">
        <f t="shared" si="2"/>
        <v>#DIV/0!</v>
      </c>
      <c r="AC43" s="274">
        <v>0</v>
      </c>
      <c r="AD43" s="599" t="e">
        <f t="shared" si="3"/>
        <v>#DIV/0!</v>
      </c>
      <c r="AE43" s="1601"/>
      <c r="AF43" s="1520">
        <v>212168480</v>
      </c>
      <c r="AG43" s="274">
        <v>212168480</v>
      </c>
      <c r="AH43" s="1097">
        <f t="shared" si="4"/>
        <v>1</v>
      </c>
      <c r="AI43" s="1693">
        <v>350000000</v>
      </c>
      <c r="AJ43" s="1603">
        <f t="shared" si="17"/>
        <v>249668480</v>
      </c>
      <c r="AK43" s="598">
        <f t="shared" si="5"/>
        <v>0.71333851428571426</v>
      </c>
      <c r="AL43" s="1601"/>
      <c r="AM43" s="1604"/>
      <c r="AN43" s="601" t="s">
        <v>302</v>
      </c>
      <c r="AO43" s="1898"/>
      <c r="AP43" s="98"/>
      <c r="AQ43" s="98"/>
    </row>
    <row r="44" spans="1:43" ht="64.5" thickBot="1" x14ac:dyDescent="0.3">
      <c r="A44" s="972" t="s">
        <v>541</v>
      </c>
      <c r="B44" s="973" t="s">
        <v>731</v>
      </c>
      <c r="C44" s="974">
        <v>0</v>
      </c>
      <c r="D44" s="975">
        <v>1</v>
      </c>
      <c r="E44" s="668">
        <v>0</v>
      </c>
      <c r="F44" s="573">
        <v>1</v>
      </c>
      <c r="G44" s="573"/>
      <c r="H44" s="561" t="e">
        <f t="shared" si="25"/>
        <v>#DIV/0!</v>
      </c>
      <c r="I44" s="669">
        <f t="shared" si="26"/>
        <v>1</v>
      </c>
      <c r="J44" s="589" t="s">
        <v>948</v>
      </c>
      <c r="K44" s="568"/>
      <c r="L44" s="177"/>
      <c r="M44" s="194"/>
      <c r="N44" s="568"/>
      <c r="O44" s="168"/>
      <c r="P44" s="168"/>
      <c r="Q44" s="168"/>
      <c r="R44" s="574"/>
      <c r="S44" s="168"/>
      <c r="T44" s="1607">
        <v>3</v>
      </c>
      <c r="U44" s="935">
        <f t="shared" si="28"/>
        <v>1</v>
      </c>
      <c r="V44" s="1608">
        <f t="shared" si="29"/>
        <v>0.33333333333333331</v>
      </c>
      <c r="W44" s="976">
        <v>0.1</v>
      </c>
      <c r="X44" s="1609">
        <v>0.1</v>
      </c>
      <c r="Y44" s="455">
        <v>60000000</v>
      </c>
      <c r="Z44" s="276" t="s">
        <v>892</v>
      </c>
      <c r="AA44" s="906">
        <v>59068176.200000003</v>
      </c>
      <c r="AB44" s="1610">
        <f t="shared" si="2"/>
        <v>0.98446960333333333</v>
      </c>
      <c r="AC44" s="906">
        <v>58311282</v>
      </c>
      <c r="AD44" s="1104">
        <f t="shared" si="3"/>
        <v>0.97185469999999996</v>
      </c>
      <c r="AE44" s="1611">
        <f>+AA44-AC44</f>
        <v>756894.20000000298</v>
      </c>
      <c r="AF44" s="1529" t="s">
        <v>892</v>
      </c>
      <c r="AG44" s="276" t="s">
        <v>892</v>
      </c>
      <c r="AH44" s="1612" t="e">
        <f t="shared" si="4"/>
        <v>#DIV/0!</v>
      </c>
      <c r="AI44" s="1666">
        <v>180000000</v>
      </c>
      <c r="AJ44" s="1614">
        <f t="shared" si="17"/>
        <v>59068176.200000003</v>
      </c>
      <c r="AK44" s="894">
        <f t="shared" si="5"/>
        <v>0.32815653444444448</v>
      </c>
      <c r="AL44" s="1611"/>
      <c r="AM44" s="1615"/>
      <c r="AN44" s="603" t="s">
        <v>302</v>
      </c>
      <c r="AO44" s="1762" t="s">
        <v>899</v>
      </c>
      <c r="AP44" s="594"/>
      <c r="AQ44" s="594"/>
    </row>
    <row r="45" spans="1:43" ht="13.5" thickBot="1" x14ac:dyDescent="0.3">
      <c r="A45" s="742" t="s">
        <v>458</v>
      </c>
      <c r="B45" s="743"/>
      <c r="C45" s="744"/>
      <c r="D45" s="745"/>
      <c r="E45" s="746"/>
      <c r="F45" s="744"/>
      <c r="G45" s="744"/>
      <c r="H45" s="747">
        <f>+(H46*40%)+(H47*60%)</f>
        <v>1</v>
      </c>
      <c r="I45" s="747">
        <f>+SUMPRODUCT(I46:I48,X46:X48)</f>
        <v>1</v>
      </c>
      <c r="J45" s="750"/>
      <c r="K45" s="743"/>
      <c r="L45" s="951"/>
      <c r="M45" s="951"/>
      <c r="N45" s="951"/>
      <c r="O45" s="749"/>
      <c r="P45" s="749"/>
      <c r="Q45" s="749"/>
      <c r="R45" s="752"/>
      <c r="S45" s="952"/>
      <c r="T45" s="826"/>
      <c r="U45" s="1618"/>
      <c r="V45" s="1586">
        <f>+SUMPRODUCT(V46:V48,W46:W48)</f>
        <v>0.60000000000000009</v>
      </c>
      <c r="W45" s="1619">
        <v>0.5</v>
      </c>
      <c r="X45" s="1620">
        <v>0.5</v>
      </c>
      <c r="Y45" s="1621">
        <f>SUM(Y46:Y48)</f>
        <v>16869452866</v>
      </c>
      <c r="Z45" s="1621">
        <f>SUM(Z46:Z48)</f>
        <v>576557090</v>
      </c>
      <c r="AA45" s="1621">
        <f>SUM(AA46:AA48)</f>
        <v>16535533312</v>
      </c>
      <c r="AB45" s="1622">
        <f t="shared" si="2"/>
        <v>0.98020566780366614</v>
      </c>
      <c r="AC45" s="1621">
        <f t="shared" ref="AC45:AJ45" si="30">SUM(AC46:AC48)</f>
        <v>6910273651</v>
      </c>
      <c r="AD45" s="1623">
        <f t="shared" si="3"/>
        <v>0.40963235179532703</v>
      </c>
      <c r="AE45" s="1624">
        <f t="shared" si="30"/>
        <v>9625259661</v>
      </c>
      <c r="AF45" s="1616">
        <f t="shared" si="30"/>
        <v>525257090</v>
      </c>
      <c r="AG45" s="1621">
        <f t="shared" si="30"/>
        <v>40350000</v>
      </c>
      <c r="AH45" s="1625">
        <f t="shared" si="30"/>
        <v>1</v>
      </c>
      <c r="AI45" s="1735">
        <f t="shared" si="30"/>
        <v>11080000000</v>
      </c>
      <c r="AJ45" s="1621">
        <f t="shared" si="30"/>
        <v>17112090402</v>
      </c>
      <c r="AK45" s="1626">
        <f t="shared" si="5"/>
        <v>1.5444124911552346</v>
      </c>
      <c r="AL45" s="1624"/>
      <c r="AM45" s="761"/>
      <c r="AN45" s="210"/>
      <c r="AO45" s="928"/>
      <c r="AP45" s="213"/>
      <c r="AQ45" s="213"/>
    </row>
    <row r="46" spans="1:43" ht="89.25" x14ac:dyDescent="0.25">
      <c r="A46" s="243" t="s">
        <v>542</v>
      </c>
      <c r="B46" s="959" t="s">
        <v>734</v>
      </c>
      <c r="C46" s="977">
        <v>1</v>
      </c>
      <c r="D46" s="978">
        <v>1</v>
      </c>
      <c r="E46" s="727">
        <v>1</v>
      </c>
      <c r="F46" s="728">
        <v>1</v>
      </c>
      <c r="G46" s="728"/>
      <c r="H46" s="729">
        <f t="shared" si="25"/>
        <v>1</v>
      </c>
      <c r="I46" s="910">
        <f t="shared" ref="I46:I48" si="31">IF(F46/D46&gt;=100%,100%,F46/D46)</f>
        <v>1</v>
      </c>
      <c r="J46" s="602" t="s">
        <v>949</v>
      </c>
      <c r="K46" s="1587"/>
      <c r="L46" s="1588"/>
      <c r="M46" s="1589"/>
      <c r="N46" s="1587"/>
      <c r="O46" s="1590"/>
      <c r="P46" s="1590"/>
      <c r="Q46" s="1590"/>
      <c r="R46" s="1591"/>
      <c r="S46" s="1627"/>
      <c r="T46" s="1628">
        <v>4</v>
      </c>
      <c r="U46" s="993">
        <f>SUM(E46:G46)</f>
        <v>2</v>
      </c>
      <c r="V46" s="1594">
        <f>IF(U46/T46&gt;=100%,100%,U46/T46)</f>
        <v>0.5</v>
      </c>
      <c r="W46" s="401">
        <v>0.2</v>
      </c>
      <c r="X46" s="1595">
        <v>0.2</v>
      </c>
      <c r="Y46" s="1580">
        <v>120000000</v>
      </c>
      <c r="Z46" s="275">
        <v>91650000</v>
      </c>
      <c r="AA46" s="1580">
        <v>120000000</v>
      </c>
      <c r="AB46" s="1596">
        <f t="shared" si="2"/>
        <v>1</v>
      </c>
      <c r="AC46" s="1580">
        <v>120000000</v>
      </c>
      <c r="AD46" s="1597">
        <f t="shared" si="3"/>
        <v>1</v>
      </c>
      <c r="AE46" s="1598">
        <f>+AA46-AC46</f>
        <v>0</v>
      </c>
      <c r="AF46" s="1522">
        <v>40350000</v>
      </c>
      <c r="AG46" s="275">
        <v>40350000</v>
      </c>
      <c r="AH46" s="1097">
        <f t="shared" si="4"/>
        <v>1</v>
      </c>
      <c r="AI46" s="1736">
        <v>480000000</v>
      </c>
      <c r="AJ46" s="1629">
        <f t="shared" si="17"/>
        <v>211650000</v>
      </c>
      <c r="AK46" s="1592">
        <f t="shared" si="5"/>
        <v>0.44093749999999998</v>
      </c>
      <c r="AL46" s="1598"/>
      <c r="AM46" s="1600"/>
      <c r="AN46" s="591" t="s">
        <v>5</v>
      </c>
      <c r="AO46" s="1763" t="s">
        <v>899</v>
      </c>
      <c r="AP46" s="595"/>
      <c r="AQ46" s="595"/>
    </row>
    <row r="47" spans="1:43" ht="165.75" x14ac:dyDescent="0.25">
      <c r="A47" s="245" t="s">
        <v>543</v>
      </c>
      <c r="B47" s="324" t="s">
        <v>735</v>
      </c>
      <c r="C47" s="366">
        <v>1</v>
      </c>
      <c r="D47" s="183">
        <v>2</v>
      </c>
      <c r="E47" s="182">
        <v>0</v>
      </c>
      <c r="F47" s="147">
        <v>2</v>
      </c>
      <c r="G47" s="147">
        <v>1</v>
      </c>
      <c r="H47" s="167">
        <f t="shared" si="25"/>
        <v>1</v>
      </c>
      <c r="I47" s="148">
        <f t="shared" si="31"/>
        <v>1</v>
      </c>
      <c r="J47" s="601" t="s">
        <v>950</v>
      </c>
      <c r="K47" s="1085"/>
      <c r="L47" s="1583"/>
      <c r="M47" s="1584"/>
      <c r="N47" s="1085"/>
      <c r="O47" s="1089"/>
      <c r="P47" s="1089"/>
      <c r="Q47" s="1089"/>
      <c r="R47" s="1091"/>
      <c r="S47" s="1585"/>
      <c r="T47" s="1605">
        <v>4</v>
      </c>
      <c r="U47" s="599">
        <f t="shared" ref="U47:U48" si="32">SUM(E47:G47)</f>
        <v>3</v>
      </c>
      <c r="V47" s="1594">
        <f t="shared" ref="V47:V48" si="33">IF(U47/T47&gt;=100%,100%,U47/T47)</f>
        <v>0.75</v>
      </c>
      <c r="W47" s="402">
        <v>0.4</v>
      </c>
      <c r="X47" s="1579">
        <v>0.4</v>
      </c>
      <c r="Y47" s="428">
        <f>16749452866/2</f>
        <v>8374726433</v>
      </c>
      <c r="Z47" s="449">
        <v>484907090</v>
      </c>
      <c r="AA47" s="1580">
        <f>16415533312/2</f>
        <v>8207766656</v>
      </c>
      <c r="AB47" s="1095">
        <f t="shared" si="2"/>
        <v>0.9800638530302187</v>
      </c>
      <c r="AC47" s="1580">
        <f>6790273651/2</f>
        <v>3395136825.5</v>
      </c>
      <c r="AD47" s="598">
        <f t="shared" si="3"/>
        <v>0.40540271406618256</v>
      </c>
      <c r="AE47" s="1601">
        <f>+AA47-AC47</f>
        <v>4812629830.5</v>
      </c>
      <c r="AF47" s="1530">
        <f>484907090/2</f>
        <v>242453545</v>
      </c>
      <c r="AG47" s="449">
        <v>0</v>
      </c>
      <c r="AH47" s="1097">
        <f t="shared" si="4"/>
        <v>0</v>
      </c>
      <c r="AI47" s="1693">
        <v>10600000000</v>
      </c>
      <c r="AJ47" s="1630">
        <f t="shared" si="17"/>
        <v>8692673746</v>
      </c>
      <c r="AK47" s="598">
        <f t="shared" si="5"/>
        <v>0.82006356094339627</v>
      </c>
      <c r="AL47" s="1601"/>
      <c r="AM47" s="1604"/>
      <c r="AN47" s="151" t="s">
        <v>5</v>
      </c>
      <c r="AO47" s="1924" t="s">
        <v>900</v>
      </c>
      <c r="AP47" s="98"/>
      <c r="AQ47" s="98"/>
    </row>
    <row r="48" spans="1:43" ht="51.75" thickBot="1" x14ac:dyDescent="0.3">
      <c r="A48" s="961" t="s">
        <v>544</v>
      </c>
      <c r="B48" s="962" t="s">
        <v>1098</v>
      </c>
      <c r="C48" s="963">
        <v>0</v>
      </c>
      <c r="D48" s="964">
        <v>2</v>
      </c>
      <c r="E48" s="668">
        <v>0</v>
      </c>
      <c r="F48" s="573">
        <v>2</v>
      </c>
      <c r="G48" s="573"/>
      <c r="H48" s="561" t="e">
        <f t="shared" si="25"/>
        <v>#DIV/0!</v>
      </c>
      <c r="I48" s="669">
        <f t="shared" si="31"/>
        <v>1</v>
      </c>
      <c r="J48" s="589" t="s">
        <v>951</v>
      </c>
      <c r="K48" s="568"/>
      <c r="L48" s="177"/>
      <c r="M48" s="178"/>
      <c r="N48" s="568"/>
      <c r="O48" s="168"/>
      <c r="P48" s="168"/>
      <c r="Q48" s="168"/>
      <c r="R48" s="574"/>
      <c r="S48" s="168"/>
      <c r="T48" s="192">
        <v>4</v>
      </c>
      <c r="U48" s="555">
        <f t="shared" si="32"/>
        <v>2</v>
      </c>
      <c r="V48" s="801">
        <f t="shared" si="33"/>
        <v>0.5</v>
      </c>
      <c r="W48" s="403">
        <v>0.4</v>
      </c>
      <c r="X48" s="938">
        <v>0.4</v>
      </c>
      <c r="Y48" s="965">
        <f>16749452866/2</f>
        <v>8374726433</v>
      </c>
      <c r="Z48" s="966">
        <v>0</v>
      </c>
      <c r="AA48" s="967">
        <f>16415533312/2</f>
        <v>8207766656</v>
      </c>
      <c r="AB48" s="580">
        <f t="shared" si="2"/>
        <v>0.9800638530302187</v>
      </c>
      <c r="AC48" s="967">
        <f>6790273651/2</f>
        <v>3395136825.5</v>
      </c>
      <c r="AD48" s="561">
        <f t="shared" si="3"/>
        <v>0.40540271406618256</v>
      </c>
      <c r="AE48" s="163">
        <f>+AA48-AC48</f>
        <v>4812629830.5</v>
      </c>
      <c r="AF48" s="1531">
        <f>484907090/2</f>
        <v>242453545</v>
      </c>
      <c r="AG48" s="966">
        <v>0</v>
      </c>
      <c r="AH48" s="581">
        <f t="shared" si="4"/>
        <v>0</v>
      </c>
      <c r="AI48" s="685">
        <v>0</v>
      </c>
      <c r="AJ48" s="947">
        <f t="shared" si="17"/>
        <v>8207766656</v>
      </c>
      <c r="AK48" s="555" t="e">
        <f t="shared" si="5"/>
        <v>#DIV/0!</v>
      </c>
      <c r="AL48" s="163"/>
      <c r="AM48" s="162"/>
      <c r="AN48" s="589" t="s">
        <v>22</v>
      </c>
      <c r="AO48" s="1897"/>
      <c r="AP48" s="594"/>
      <c r="AQ48" s="594"/>
    </row>
    <row r="49" spans="1:43" s="554" customFormat="1" ht="26.25" thickBot="1" x14ac:dyDescent="0.3">
      <c r="A49" s="628" t="s">
        <v>428</v>
      </c>
      <c r="B49" s="629"/>
      <c r="C49" s="630"/>
      <c r="D49" s="631"/>
      <c r="E49" s="632"/>
      <c r="F49" s="630"/>
      <c r="G49" s="630"/>
      <c r="H49" s="644">
        <f>+(H50*W50)</f>
        <v>1</v>
      </c>
      <c r="I49" s="644">
        <f>+(I50*X50)</f>
        <v>0.94599999999999995</v>
      </c>
      <c r="J49" s="637"/>
      <c r="K49" s="629"/>
      <c r="L49" s="968"/>
      <c r="M49" s="968"/>
      <c r="N49" s="968"/>
      <c r="O49" s="636"/>
      <c r="P49" s="636"/>
      <c r="Q49" s="636"/>
      <c r="R49" s="639"/>
      <c r="S49" s="969"/>
      <c r="T49" s="838"/>
      <c r="U49" s="641"/>
      <c r="V49" s="1631">
        <f>+(V50*W50)</f>
        <v>0.39095477386934668</v>
      </c>
      <c r="W49" s="633">
        <v>0.1</v>
      </c>
      <c r="X49" s="970">
        <v>0.1</v>
      </c>
      <c r="Y49" s="642">
        <f>+Y50</f>
        <v>34346706847</v>
      </c>
      <c r="Z49" s="971">
        <f>+Z50</f>
        <v>38574898240.900002</v>
      </c>
      <c r="AA49" s="642">
        <f>+AA50</f>
        <v>32549790015.5</v>
      </c>
      <c r="AB49" s="643">
        <f t="shared" si="2"/>
        <v>0.94768299506836273</v>
      </c>
      <c r="AC49" s="642">
        <f>+AC50</f>
        <v>32549790015.5</v>
      </c>
      <c r="AD49" s="644">
        <f t="shared" si="3"/>
        <v>0.94768299506836273</v>
      </c>
      <c r="AE49" s="629">
        <f>+AE50</f>
        <v>0</v>
      </c>
      <c r="AF49" s="637">
        <f>+AF50</f>
        <v>7503735968.8999996</v>
      </c>
      <c r="AG49" s="642">
        <f>+AG50</f>
        <v>6580131258.8800001</v>
      </c>
      <c r="AH49" s="645">
        <f t="shared" si="4"/>
        <v>0.8769140180507452</v>
      </c>
      <c r="AI49" s="1737">
        <f t="shared" ref="AI49:AJ49" si="34">+AI50</f>
        <v>146573450954</v>
      </c>
      <c r="AJ49" s="642">
        <f t="shared" si="34"/>
        <v>71124688256.399994</v>
      </c>
      <c r="AK49" s="646">
        <f t="shared" si="5"/>
        <v>0.48524946225576326</v>
      </c>
      <c r="AL49" s="629"/>
      <c r="AM49" s="636" t="s">
        <v>297</v>
      </c>
      <c r="AN49" s="637"/>
      <c r="AO49" s="629"/>
      <c r="AP49" s="634"/>
      <c r="AQ49" s="634"/>
    </row>
    <row r="50" spans="1:43" ht="26.25" thickBot="1" x14ac:dyDescent="0.3">
      <c r="A50" s="742" t="s">
        <v>459</v>
      </c>
      <c r="B50" s="743"/>
      <c r="C50" s="744"/>
      <c r="D50" s="745"/>
      <c r="E50" s="746"/>
      <c r="F50" s="744"/>
      <c r="G50" s="744"/>
      <c r="H50" s="747">
        <f>+(H52*35%)+(H53*35%)+(H54*15%)+(H55*15%)</f>
        <v>1</v>
      </c>
      <c r="I50" s="747">
        <f>+SUMPRODUCT(I51:I55,X51:X55)</f>
        <v>0.94599999999999995</v>
      </c>
      <c r="J50" s="750"/>
      <c r="K50" s="743"/>
      <c r="L50" s="951"/>
      <c r="M50" s="951"/>
      <c r="N50" s="951"/>
      <c r="O50" s="749"/>
      <c r="P50" s="749"/>
      <c r="Q50" s="749"/>
      <c r="R50" s="752"/>
      <c r="S50" s="952"/>
      <c r="T50" s="826"/>
      <c r="U50" s="1618"/>
      <c r="V50" s="1586">
        <f>+SUMPRODUCT(V51:V55,W51:W55)</f>
        <v>0.39095477386934668</v>
      </c>
      <c r="W50" s="1619">
        <v>1</v>
      </c>
      <c r="X50" s="1620">
        <v>1</v>
      </c>
      <c r="Y50" s="1621">
        <f>SUM(Y51:Y55)</f>
        <v>34346706847</v>
      </c>
      <c r="Z50" s="1632">
        <f>SUM(Z51:Z55)</f>
        <v>38574898240.900002</v>
      </c>
      <c r="AA50" s="1621">
        <f>SUM(AA51:AA55)</f>
        <v>32549790015.5</v>
      </c>
      <c r="AB50" s="1622">
        <f t="shared" si="2"/>
        <v>0.94768299506836273</v>
      </c>
      <c r="AC50" s="1621">
        <f>SUM(AC51:AC55)</f>
        <v>32549790015.5</v>
      </c>
      <c r="AD50" s="1626">
        <f t="shared" si="3"/>
        <v>0.94768299506836273</v>
      </c>
      <c r="AE50" s="1624">
        <f>SUM(AE51:AE55)</f>
        <v>0</v>
      </c>
      <c r="AF50" s="1616">
        <f>SUM(AF51:AF55)</f>
        <v>7503735968.8999996</v>
      </c>
      <c r="AG50" s="1621">
        <f>SUM(AG51:AG55)</f>
        <v>6580131258.8800001</v>
      </c>
      <c r="AH50" s="1633">
        <f t="shared" si="4"/>
        <v>0.8769140180507452</v>
      </c>
      <c r="AI50" s="1735">
        <f t="shared" ref="AI50:AJ50" si="35">SUM(AI51:AI55)</f>
        <v>146573450954</v>
      </c>
      <c r="AJ50" s="1621">
        <f t="shared" si="35"/>
        <v>71124688256.399994</v>
      </c>
      <c r="AK50" s="1617">
        <f t="shared" si="5"/>
        <v>0.48524946225576326</v>
      </c>
      <c r="AL50" s="1624"/>
      <c r="AM50" s="761"/>
      <c r="AN50" s="210"/>
      <c r="AO50" s="928"/>
      <c r="AP50" s="213"/>
      <c r="AQ50" s="213"/>
    </row>
    <row r="51" spans="1:43" ht="153" x14ac:dyDescent="0.25">
      <c r="A51" s="242" t="s">
        <v>545</v>
      </c>
      <c r="B51" s="959" t="s">
        <v>736</v>
      </c>
      <c r="C51" s="960">
        <v>0</v>
      </c>
      <c r="D51" s="301">
        <v>0</v>
      </c>
      <c r="E51" s="727">
        <v>0</v>
      </c>
      <c r="F51" s="728">
        <v>0</v>
      </c>
      <c r="G51" s="728"/>
      <c r="H51" s="729" t="e">
        <f t="shared" ref="H51:H55" si="36">IF((E51+G51)/C51&gt;=100%,100%,(E51+G51)/C51)</f>
        <v>#DIV/0!</v>
      </c>
      <c r="I51" s="910">
        <v>0</v>
      </c>
      <c r="J51" s="586"/>
      <c r="K51" s="585"/>
      <c r="L51" s="731"/>
      <c r="M51" s="732"/>
      <c r="N51" s="585"/>
      <c r="O51" s="176"/>
      <c r="P51" s="176"/>
      <c r="Q51" s="176"/>
      <c r="R51" s="734"/>
      <c r="S51" s="176"/>
      <c r="T51" s="1628">
        <v>1</v>
      </c>
      <c r="U51" s="993">
        <f>SUM(E51:G51)</f>
        <v>0</v>
      </c>
      <c r="V51" s="1594">
        <f t="shared" ref="V51" si="37">IF(U51/T51&gt;=100%,100%,U51/T51)</f>
        <v>0</v>
      </c>
      <c r="W51" s="399">
        <v>0.2</v>
      </c>
      <c r="X51" s="1595">
        <v>0</v>
      </c>
      <c r="Y51" s="452" t="s">
        <v>892</v>
      </c>
      <c r="Z51" s="275">
        <v>0</v>
      </c>
      <c r="AA51" s="275">
        <v>0</v>
      </c>
      <c r="AB51" s="1596" t="e">
        <f t="shared" si="2"/>
        <v>#DIV/0!</v>
      </c>
      <c r="AC51" s="275">
        <v>0</v>
      </c>
      <c r="AD51" s="993" t="e">
        <f t="shared" si="3"/>
        <v>#DIV/0!</v>
      </c>
      <c r="AE51" s="1598"/>
      <c r="AF51" s="1522">
        <v>0</v>
      </c>
      <c r="AG51" s="275">
        <v>0</v>
      </c>
      <c r="AH51" s="1097" t="e">
        <f t="shared" si="4"/>
        <v>#DIV/0!</v>
      </c>
      <c r="AI51" s="1661">
        <v>600000000</v>
      </c>
      <c r="AJ51" s="1599">
        <f t="shared" si="17"/>
        <v>0</v>
      </c>
      <c r="AK51" s="1592">
        <f t="shared" si="5"/>
        <v>0</v>
      </c>
      <c r="AL51" s="1598"/>
      <c r="AM51" s="171"/>
      <c r="AN51" s="591" t="s">
        <v>22</v>
      </c>
      <c r="AO51" s="1764" t="s">
        <v>901</v>
      </c>
      <c r="AP51" s="595"/>
      <c r="AQ51" s="595"/>
    </row>
    <row r="52" spans="1:43" ht="216.75" x14ac:dyDescent="0.25">
      <c r="A52" s="242" t="s">
        <v>546</v>
      </c>
      <c r="B52" s="324" t="s">
        <v>737</v>
      </c>
      <c r="C52" s="367">
        <v>1</v>
      </c>
      <c r="D52" s="301">
        <v>0</v>
      </c>
      <c r="E52" s="182">
        <v>0</v>
      </c>
      <c r="F52" s="147">
        <v>0</v>
      </c>
      <c r="G52" s="147">
        <v>1</v>
      </c>
      <c r="H52" s="167">
        <f t="shared" si="36"/>
        <v>1</v>
      </c>
      <c r="I52" s="148">
        <v>0</v>
      </c>
      <c r="J52" s="601" t="s">
        <v>1125</v>
      </c>
      <c r="K52" s="146"/>
      <c r="L52" s="102"/>
      <c r="M52" s="104"/>
      <c r="N52" s="146"/>
      <c r="O52" s="149"/>
      <c r="P52" s="149"/>
      <c r="Q52" s="149"/>
      <c r="R52" s="150"/>
      <c r="S52" s="149"/>
      <c r="T52" s="1605">
        <v>4</v>
      </c>
      <c r="U52" s="599">
        <f>SUM(E52:G52)</f>
        <v>1</v>
      </c>
      <c r="V52" s="1594">
        <f t="shared" ref="V52:V54" si="38">IF(U52/T52&gt;=100%,100%,U52/T52)</f>
        <v>0.25</v>
      </c>
      <c r="W52" s="404">
        <v>0.3</v>
      </c>
      <c r="X52" s="1579">
        <v>0</v>
      </c>
      <c r="Y52" s="452">
        <v>0</v>
      </c>
      <c r="Z52" s="274">
        <v>2000000000</v>
      </c>
      <c r="AA52" s="274">
        <v>0</v>
      </c>
      <c r="AB52" s="1095" t="e">
        <f t="shared" si="2"/>
        <v>#DIV/0!</v>
      </c>
      <c r="AC52" s="274">
        <v>0</v>
      </c>
      <c r="AD52" s="599" t="e">
        <f t="shared" si="3"/>
        <v>#DIV/0!</v>
      </c>
      <c r="AE52" s="1601"/>
      <c r="AF52" s="1520">
        <v>1998500000</v>
      </c>
      <c r="AG52" s="274">
        <v>1101694661.6700001</v>
      </c>
      <c r="AH52" s="1097">
        <f t="shared" si="4"/>
        <v>0.55126077641731297</v>
      </c>
      <c r="AI52" s="1693">
        <v>4800000000</v>
      </c>
      <c r="AJ52" s="1603">
        <f t="shared" si="17"/>
        <v>2000000000</v>
      </c>
      <c r="AK52" s="598">
        <f t="shared" si="5"/>
        <v>0.41666666666666669</v>
      </c>
      <c r="AL52" s="1601"/>
      <c r="AM52" s="155"/>
      <c r="AN52" s="151" t="s">
        <v>22</v>
      </c>
      <c r="AO52" s="1765" t="s">
        <v>902</v>
      </c>
      <c r="AP52" s="98"/>
      <c r="AQ52" s="98"/>
    </row>
    <row r="53" spans="1:43" ht="216.75" x14ac:dyDescent="0.25">
      <c r="A53" s="242" t="s">
        <v>547</v>
      </c>
      <c r="B53" s="324" t="s">
        <v>738</v>
      </c>
      <c r="C53" s="368">
        <v>300</v>
      </c>
      <c r="D53" s="300">
        <v>300</v>
      </c>
      <c r="E53" s="295">
        <v>300</v>
      </c>
      <c r="F53" s="147">
        <v>273</v>
      </c>
      <c r="G53" s="147"/>
      <c r="H53" s="167">
        <f t="shared" si="36"/>
        <v>1</v>
      </c>
      <c r="I53" s="148">
        <f t="shared" ref="I53:I55" si="39">IF(F53/D53&gt;=100%,100%,F53/D53)</f>
        <v>0.91</v>
      </c>
      <c r="J53" s="151" t="s">
        <v>952</v>
      </c>
      <c r="K53" s="146"/>
      <c r="L53" s="102"/>
      <c r="M53" s="104"/>
      <c r="N53" s="146"/>
      <c r="O53" s="149"/>
      <c r="P53" s="149"/>
      <c r="Q53" s="149"/>
      <c r="R53" s="150"/>
      <c r="S53" s="149"/>
      <c r="T53" s="1605">
        <v>796</v>
      </c>
      <c r="U53" s="599">
        <f>SUM(E53:G53)</f>
        <v>573</v>
      </c>
      <c r="V53" s="1594">
        <f t="shared" si="38"/>
        <v>0.71984924623115576</v>
      </c>
      <c r="W53" s="399">
        <v>0.3</v>
      </c>
      <c r="X53" s="1579">
        <v>0.6</v>
      </c>
      <c r="Y53" s="452">
        <v>5222458000</v>
      </c>
      <c r="Z53" s="274">
        <v>5376651240</v>
      </c>
      <c r="AA53" s="274">
        <v>5222458000</v>
      </c>
      <c r="AB53" s="1095">
        <f t="shared" si="2"/>
        <v>1</v>
      </c>
      <c r="AC53" s="274">
        <v>5222458000</v>
      </c>
      <c r="AD53" s="1096">
        <f t="shared" si="3"/>
        <v>1</v>
      </c>
      <c r="AE53" s="1601">
        <f>+AA53-AC53</f>
        <v>0</v>
      </c>
      <c r="AF53" s="1520">
        <v>0</v>
      </c>
      <c r="AG53" s="274">
        <v>0</v>
      </c>
      <c r="AH53" s="1097" t="e">
        <f t="shared" si="4"/>
        <v>#DIV/0!</v>
      </c>
      <c r="AI53" s="1693">
        <v>15242234384.25</v>
      </c>
      <c r="AJ53" s="1603">
        <f t="shared" si="17"/>
        <v>10599109240</v>
      </c>
      <c r="AK53" s="1096">
        <f t="shared" si="5"/>
        <v>0.69537765742220825</v>
      </c>
      <c r="AL53" s="1601"/>
      <c r="AM53" s="155"/>
      <c r="AN53" s="151" t="s">
        <v>22</v>
      </c>
      <c r="AO53" s="1765" t="s">
        <v>902</v>
      </c>
      <c r="AP53" s="98"/>
      <c r="AQ53" s="98"/>
    </row>
    <row r="54" spans="1:43" ht="51" x14ac:dyDescent="0.25">
      <c r="A54" s="242" t="s">
        <v>548</v>
      </c>
      <c r="B54" s="324" t="s">
        <v>739</v>
      </c>
      <c r="C54" s="367">
        <v>1</v>
      </c>
      <c r="D54" s="300">
        <v>1</v>
      </c>
      <c r="E54" s="182">
        <v>1</v>
      </c>
      <c r="F54" s="147">
        <v>1</v>
      </c>
      <c r="G54" s="147"/>
      <c r="H54" s="167">
        <f t="shared" si="36"/>
        <v>1</v>
      </c>
      <c r="I54" s="148">
        <f t="shared" si="39"/>
        <v>1</v>
      </c>
      <c r="J54" s="151" t="s">
        <v>953</v>
      </c>
      <c r="K54" s="146"/>
      <c r="L54" s="102"/>
      <c r="M54" s="175"/>
      <c r="N54" s="146"/>
      <c r="O54" s="149"/>
      <c r="P54" s="149"/>
      <c r="Q54" s="149"/>
      <c r="R54" s="150"/>
      <c r="S54" s="156"/>
      <c r="T54" s="1605">
        <v>4</v>
      </c>
      <c r="U54" s="599">
        <f>SUM(E54:G54)</f>
        <v>2</v>
      </c>
      <c r="V54" s="1594">
        <f t="shared" si="38"/>
        <v>0.5</v>
      </c>
      <c r="W54" s="404">
        <v>0.1</v>
      </c>
      <c r="X54" s="1579">
        <v>0.2</v>
      </c>
      <c r="Y54" s="456">
        <v>0</v>
      </c>
      <c r="Z54" s="274">
        <v>0</v>
      </c>
      <c r="AA54" s="274">
        <v>0</v>
      </c>
      <c r="AB54" s="1095" t="e">
        <f t="shared" si="2"/>
        <v>#DIV/0!</v>
      </c>
      <c r="AC54" s="274">
        <v>0</v>
      </c>
      <c r="AD54" s="1096" t="e">
        <f t="shared" si="3"/>
        <v>#DIV/0!</v>
      </c>
      <c r="AE54" s="1601"/>
      <c r="AF54" s="1520">
        <v>0</v>
      </c>
      <c r="AG54" s="274">
        <v>0</v>
      </c>
      <c r="AH54" s="1097" t="e">
        <f t="shared" si="4"/>
        <v>#DIV/0!</v>
      </c>
      <c r="AI54" s="1693">
        <v>5080744794.75</v>
      </c>
      <c r="AJ54" s="1603">
        <f t="shared" si="17"/>
        <v>0</v>
      </c>
      <c r="AK54" s="598">
        <f t="shared" si="5"/>
        <v>0</v>
      </c>
      <c r="AL54" s="1601"/>
      <c r="AM54" s="155"/>
      <c r="AN54" s="151" t="s">
        <v>22</v>
      </c>
      <c r="AO54" s="1925" t="s">
        <v>902</v>
      </c>
      <c r="AP54" s="98"/>
      <c r="AQ54" s="98"/>
    </row>
    <row r="55" spans="1:43" ht="51.75" thickBot="1" x14ac:dyDescent="0.3">
      <c r="A55" s="246" t="s">
        <v>549</v>
      </c>
      <c r="B55" s="332" t="s">
        <v>740</v>
      </c>
      <c r="C55" s="955">
        <v>1</v>
      </c>
      <c r="D55" s="956">
        <v>1</v>
      </c>
      <c r="E55" s="668">
        <v>1</v>
      </c>
      <c r="F55" s="573">
        <v>1</v>
      </c>
      <c r="G55" s="573"/>
      <c r="H55" s="561">
        <f t="shared" si="36"/>
        <v>1</v>
      </c>
      <c r="I55" s="669">
        <f t="shared" si="39"/>
        <v>1</v>
      </c>
      <c r="J55" s="589" t="s">
        <v>954</v>
      </c>
      <c r="K55" s="568"/>
      <c r="L55" s="177"/>
      <c r="M55" s="178"/>
      <c r="N55" s="568"/>
      <c r="O55" s="168"/>
      <c r="P55" s="168"/>
      <c r="Q55" s="168"/>
      <c r="R55" s="574"/>
      <c r="S55" s="957"/>
      <c r="T55" s="1607">
        <v>4</v>
      </c>
      <c r="U55" s="935">
        <f>SUM(E55:G55)</f>
        <v>2</v>
      </c>
      <c r="V55" s="1608">
        <f t="shared" ref="V55" si="40">IF(U55/T55&gt;=100%,100%,U55/T55)</f>
        <v>0.5</v>
      </c>
      <c r="W55" s="903">
        <v>0.1</v>
      </c>
      <c r="X55" s="1609">
        <v>0.2</v>
      </c>
      <c r="Y55" s="457">
        <v>29124248847</v>
      </c>
      <c r="Z55" s="958">
        <f>27218924156+3979322844.9</f>
        <v>31198247000.900002</v>
      </c>
      <c r="AA55" s="906">
        <v>27327332015.5</v>
      </c>
      <c r="AB55" s="1610">
        <f t="shared" si="2"/>
        <v>0.93830169351526138</v>
      </c>
      <c r="AC55" s="906">
        <v>27327332015.5</v>
      </c>
      <c r="AD55" s="1104">
        <f t="shared" si="3"/>
        <v>0.93830169351526138</v>
      </c>
      <c r="AE55" s="1611">
        <f>+AA55-AC55</f>
        <v>0</v>
      </c>
      <c r="AF55" s="1521">
        <v>5505235968.8999996</v>
      </c>
      <c r="AG55" s="906">
        <v>5478436597.21</v>
      </c>
      <c r="AH55" s="1612">
        <f t="shared" si="4"/>
        <v>0.99513202125369493</v>
      </c>
      <c r="AI55" s="1666">
        <v>120850471775</v>
      </c>
      <c r="AJ55" s="1614">
        <f t="shared" si="17"/>
        <v>58525579016.400002</v>
      </c>
      <c r="AK55" s="894">
        <f t="shared" si="5"/>
        <v>0.48428093127648864</v>
      </c>
      <c r="AL55" s="1611"/>
      <c r="AM55" s="162"/>
      <c r="AN55" s="589" t="s">
        <v>22</v>
      </c>
      <c r="AO55" s="1897"/>
      <c r="AP55" s="594"/>
      <c r="AQ55" s="594"/>
    </row>
    <row r="56" spans="1:43" ht="36.75" thickBot="1" x14ac:dyDescent="0.3">
      <c r="A56" s="1021" t="s">
        <v>423</v>
      </c>
      <c r="B56" s="998"/>
      <c r="C56" s="999"/>
      <c r="D56" s="1000"/>
      <c r="E56" s="1001"/>
      <c r="F56" s="999"/>
      <c r="G56" s="999"/>
      <c r="H56" s="1002">
        <f>+(H57*W57)+(H70*W70)+(H79*W79)</f>
        <v>0.63040000000000007</v>
      </c>
      <c r="I56" s="1002">
        <f>+(I57*X57)+(I70*X70)+(I79*X79)</f>
        <v>0.5806</v>
      </c>
      <c r="J56" s="1003"/>
      <c r="K56" s="998"/>
      <c r="L56" s="1004"/>
      <c r="M56" s="1005"/>
      <c r="N56" s="1005"/>
      <c r="O56" s="1006"/>
      <c r="P56" s="1006"/>
      <c r="Q56" s="1006"/>
      <c r="R56" s="1006"/>
      <c r="S56" s="1006"/>
      <c r="T56" s="1007"/>
      <c r="U56" s="1008"/>
      <c r="V56" s="1009">
        <f>+(V57*W57)+(V70*W70)+(V79*W79)</f>
        <v>0.29779525842681498</v>
      </c>
      <c r="W56" s="1010">
        <v>0.15</v>
      </c>
      <c r="X56" s="1011">
        <v>0.15</v>
      </c>
      <c r="Y56" s="1012">
        <f>+Y57+Y70+Y79</f>
        <v>4565875573</v>
      </c>
      <c r="Z56" s="1012">
        <f>+Z57+Z70+Z79</f>
        <v>2671026967</v>
      </c>
      <c r="AA56" s="1013">
        <f>+AA57+AA70+AA79</f>
        <v>3993944361.1999998</v>
      </c>
      <c r="AB56" s="1014">
        <f t="shared" si="2"/>
        <v>0.87473788922718854</v>
      </c>
      <c r="AC56" s="1012">
        <f>+AC57+AC70+AC79</f>
        <v>2874263215</v>
      </c>
      <c r="AD56" s="1015">
        <f t="shared" si="3"/>
        <v>0.62950975536800946</v>
      </c>
      <c r="AE56" s="1017">
        <f>+AE57+AE70+AE79</f>
        <v>1119681146.2</v>
      </c>
      <c r="AF56" s="1019">
        <f>+AF57+AF70+AF79</f>
        <v>1874417406.9000001</v>
      </c>
      <c r="AG56" s="1012">
        <f>+AG57+AG70+AG79</f>
        <v>1845306970.21</v>
      </c>
      <c r="AH56" s="1016">
        <f t="shared" si="4"/>
        <v>0.98446960821915097</v>
      </c>
      <c r="AI56" s="1012">
        <f>+AI57+AI70+AI79</f>
        <v>26047160427</v>
      </c>
      <c r="AJ56" s="1012">
        <f>+AJ57+AJ70+AJ79</f>
        <v>6664971328.1999998</v>
      </c>
      <c r="AK56" s="1010">
        <f t="shared" si="5"/>
        <v>0.25588091826282972</v>
      </c>
      <c r="AL56" s="1017"/>
      <c r="AM56" s="1018"/>
      <c r="AN56" s="1019"/>
      <c r="AO56" s="1017"/>
      <c r="AP56" s="1020"/>
      <c r="AQ56" s="1020"/>
    </row>
    <row r="57" spans="1:43" s="554" customFormat="1" ht="39" thickBot="1" x14ac:dyDescent="0.3">
      <c r="A57" s="628" t="s">
        <v>429</v>
      </c>
      <c r="B57" s="629"/>
      <c r="C57" s="630"/>
      <c r="D57" s="631"/>
      <c r="E57" s="632"/>
      <c r="F57" s="630"/>
      <c r="G57" s="630"/>
      <c r="H57" s="837">
        <f>+(H58*50%)+(H64*50%)</f>
        <v>0.5</v>
      </c>
      <c r="I57" s="837">
        <f>+(I58*X58)+(I64*X64)</f>
        <v>0.75</v>
      </c>
      <c r="J57" s="637"/>
      <c r="K57" s="629"/>
      <c r="L57" s="636"/>
      <c r="M57" s="637"/>
      <c r="N57" s="637"/>
      <c r="O57" s="636"/>
      <c r="P57" s="636"/>
      <c r="Q57" s="636"/>
      <c r="R57" s="639"/>
      <c r="S57" s="636"/>
      <c r="T57" s="838"/>
      <c r="U57" s="641"/>
      <c r="V57" s="839">
        <f>+(V58*W58)+(V64*W64)</f>
        <v>0.4261299142460318</v>
      </c>
      <c r="W57" s="646">
        <v>0.3</v>
      </c>
      <c r="X57" s="657">
        <v>0.3</v>
      </c>
      <c r="Y57" s="642">
        <f>+Y58+Y64</f>
        <v>1100000000</v>
      </c>
      <c r="Z57" s="642">
        <f>+Z58+Z64</f>
        <v>1620388056</v>
      </c>
      <c r="AA57" s="642">
        <f>+AA58+AA64</f>
        <v>859909131</v>
      </c>
      <c r="AB57" s="643">
        <f t="shared" si="2"/>
        <v>0.78173557363636359</v>
      </c>
      <c r="AC57" s="642">
        <f>+AC58+AC64</f>
        <v>642270869</v>
      </c>
      <c r="AD57" s="644">
        <f t="shared" si="3"/>
        <v>0.58388260818181814</v>
      </c>
      <c r="AE57" s="629">
        <f>+AE58+AE64</f>
        <v>217638262</v>
      </c>
      <c r="AF57" s="637">
        <f>+AF58+AF64</f>
        <v>1741019106.9000001</v>
      </c>
      <c r="AG57" s="642">
        <f>+AG58+AG64</f>
        <v>1714219735.21</v>
      </c>
      <c r="AH57" s="645">
        <f t="shared" si="4"/>
        <v>0.98460707778347245</v>
      </c>
      <c r="AI57" s="642">
        <f>+AI58+AI64</f>
        <v>9830000000</v>
      </c>
      <c r="AJ57" s="642">
        <f>+AJ58+AJ64</f>
        <v>2480297187</v>
      </c>
      <c r="AK57" s="646">
        <f t="shared" si="5"/>
        <v>0.2523191441505595</v>
      </c>
      <c r="AL57" s="629"/>
      <c r="AM57" s="636" t="s">
        <v>294</v>
      </c>
      <c r="AN57" s="637"/>
      <c r="AO57" s="629"/>
      <c r="AP57" s="634"/>
      <c r="AQ57" s="634"/>
    </row>
    <row r="58" spans="1:43" ht="13.5" thickBot="1" x14ac:dyDescent="0.3">
      <c r="A58" s="742" t="s">
        <v>460</v>
      </c>
      <c r="B58" s="743"/>
      <c r="C58" s="744"/>
      <c r="D58" s="745"/>
      <c r="E58" s="746"/>
      <c r="F58" s="744"/>
      <c r="G58" s="744"/>
      <c r="H58" s="747">
        <f>+H62*100%</f>
        <v>0</v>
      </c>
      <c r="I58" s="747">
        <f>+SUMPRODUCT(I59:I63,X59:X63)</f>
        <v>0.5</v>
      </c>
      <c r="J58" s="750"/>
      <c r="K58" s="743"/>
      <c r="L58" s="951"/>
      <c r="M58" s="951"/>
      <c r="N58" s="951"/>
      <c r="O58" s="749"/>
      <c r="P58" s="749"/>
      <c r="Q58" s="749"/>
      <c r="R58" s="752"/>
      <c r="S58" s="952"/>
      <c r="T58" s="826"/>
      <c r="U58" s="754"/>
      <c r="V58" s="755">
        <f>+SUMPRODUCT(V59:V63,AK59:AK63)</f>
        <v>0.24987887611111112</v>
      </c>
      <c r="W58" s="807">
        <v>0.5</v>
      </c>
      <c r="X58" s="953">
        <v>0.5</v>
      </c>
      <c r="Y58" s="757">
        <f>SUM(Y59:Y63)</f>
        <v>500000000</v>
      </c>
      <c r="Z58" s="757">
        <f>SUM(Z59:Z63)</f>
        <v>202888056</v>
      </c>
      <c r="AA58" s="757">
        <f>SUM(AA59:AA63)</f>
        <v>267680487</v>
      </c>
      <c r="AB58" s="758">
        <f t="shared" si="2"/>
        <v>0.53536097400000004</v>
      </c>
      <c r="AC58" s="757">
        <f>SUM(AC59:AC63)</f>
        <v>56522524</v>
      </c>
      <c r="AD58" s="748">
        <f t="shared" si="3"/>
        <v>0.113045048</v>
      </c>
      <c r="AE58" s="928">
        <f>SUM(AE59:AE63)</f>
        <v>211157963</v>
      </c>
      <c r="AF58" s="210">
        <f>SUM(AF59:AF63)</f>
        <v>366019106.89999998</v>
      </c>
      <c r="AG58" s="759">
        <f>SUM(AG59:AG63)</f>
        <v>339219735.20999998</v>
      </c>
      <c r="AH58" s="760">
        <f t="shared" si="4"/>
        <v>0.92678149532417209</v>
      </c>
      <c r="AI58" s="759">
        <f>SUM(AI59:AI63)</f>
        <v>5100000000</v>
      </c>
      <c r="AJ58" s="759">
        <f>SUM(AJ59:AJ63)</f>
        <v>470568543</v>
      </c>
      <c r="AK58" s="1634">
        <f t="shared" si="5"/>
        <v>9.2268341764705886E-2</v>
      </c>
      <c r="AL58" s="928"/>
      <c r="AM58" s="761"/>
      <c r="AN58" s="210"/>
      <c r="AO58" s="928"/>
      <c r="AP58" s="213"/>
      <c r="AQ58" s="213"/>
    </row>
    <row r="59" spans="1:43" ht="38.25" x14ac:dyDescent="0.25">
      <c r="A59" s="247" t="s">
        <v>550</v>
      </c>
      <c r="B59" s="954" t="s">
        <v>743</v>
      </c>
      <c r="C59" s="369">
        <v>0</v>
      </c>
      <c r="D59" s="303">
        <v>0</v>
      </c>
      <c r="E59" s="1636">
        <v>0</v>
      </c>
      <c r="F59" s="992">
        <v>0</v>
      </c>
      <c r="G59" s="992"/>
      <c r="H59" s="1592" t="e">
        <f t="shared" ref="H59:H69" si="41">IF((E59+G59)/C59&gt;=100%,100%,(E59+G59)/C59)</f>
        <v>#DIV/0!</v>
      </c>
      <c r="I59" s="1637">
        <v>0</v>
      </c>
      <c r="J59" s="602"/>
      <c r="K59" s="1587"/>
      <c r="L59" s="1588"/>
      <c r="M59" s="1589"/>
      <c r="N59" s="1587"/>
      <c r="O59" s="1590"/>
      <c r="P59" s="1590"/>
      <c r="Q59" s="1590"/>
      <c r="R59" s="1591"/>
      <c r="S59" s="1627"/>
      <c r="T59" s="1628">
        <v>150</v>
      </c>
      <c r="U59" s="993">
        <f>SUM(E59:G59)</f>
        <v>0</v>
      </c>
      <c r="V59" s="1594">
        <f t="shared" ref="V59" si="42">IF(U59/T59&gt;=100%,100%,U59/T59)</f>
        <v>0</v>
      </c>
      <c r="W59" s="406">
        <v>0.25</v>
      </c>
      <c r="X59" s="1595">
        <v>0</v>
      </c>
      <c r="Y59" s="458" t="s">
        <v>892</v>
      </c>
      <c r="Z59" s="278" t="s">
        <v>892</v>
      </c>
      <c r="AA59" s="278">
        <v>0</v>
      </c>
      <c r="AB59" s="1596" t="e">
        <f t="shared" si="2"/>
        <v>#DIV/0!</v>
      </c>
      <c r="AC59" s="278">
        <v>0</v>
      </c>
      <c r="AD59" s="993" t="e">
        <f t="shared" si="3"/>
        <v>#DIV/0!</v>
      </c>
      <c r="AE59" s="1598"/>
      <c r="AF59" s="1532" t="s">
        <v>892</v>
      </c>
      <c r="AG59" s="278" t="s">
        <v>892</v>
      </c>
      <c r="AH59" s="1097" t="e">
        <f t="shared" si="4"/>
        <v>#DIV/0!</v>
      </c>
      <c r="AI59" s="1599">
        <v>1500000000</v>
      </c>
      <c r="AJ59" s="1599">
        <f t="shared" si="17"/>
        <v>0</v>
      </c>
      <c r="AK59" s="1592">
        <f t="shared" si="5"/>
        <v>0</v>
      </c>
      <c r="AL59" s="1598"/>
      <c r="AM59" s="1600"/>
      <c r="AN59" s="602" t="s">
        <v>10</v>
      </c>
      <c r="AO59" s="1318" t="s">
        <v>903</v>
      </c>
      <c r="AP59" s="1805"/>
      <c r="AQ59" s="595"/>
    </row>
    <row r="60" spans="1:43" ht="63.75" x14ac:dyDescent="0.25">
      <c r="A60" s="247" t="s">
        <v>551</v>
      </c>
      <c r="B60" s="334" t="s">
        <v>741</v>
      </c>
      <c r="C60" s="369">
        <v>0</v>
      </c>
      <c r="D60" s="303">
        <v>50000</v>
      </c>
      <c r="E60" s="1582">
        <v>0</v>
      </c>
      <c r="F60" s="558">
        <v>0</v>
      </c>
      <c r="G60" s="558"/>
      <c r="H60" s="598" t="e">
        <f t="shared" si="41"/>
        <v>#DIV/0!</v>
      </c>
      <c r="I60" s="1087">
        <f t="shared" ref="I60" si="43">IF(F60/D60&gt;=100%,100%,F60/D60)</f>
        <v>0</v>
      </c>
      <c r="J60" s="601" t="s">
        <v>955</v>
      </c>
      <c r="K60" s="1085"/>
      <c r="L60" s="1583"/>
      <c r="M60" s="1584"/>
      <c r="N60" s="1085"/>
      <c r="O60" s="1089"/>
      <c r="P60" s="1089"/>
      <c r="Q60" s="1089"/>
      <c r="R60" s="1091"/>
      <c r="S60" s="1585"/>
      <c r="T60" s="1605">
        <v>150000</v>
      </c>
      <c r="U60" s="599">
        <f t="shared" ref="U60:U63" si="44">SUM(E60:G60)</f>
        <v>0</v>
      </c>
      <c r="V60" s="1594">
        <f t="shared" ref="V60:V61" si="45">IF(U60/T60&gt;=100%,100%,U60/T60)</f>
        <v>0</v>
      </c>
      <c r="W60" s="406">
        <v>0.2</v>
      </c>
      <c r="X60" s="1579">
        <v>0.5</v>
      </c>
      <c r="Y60" s="458">
        <v>250000000</v>
      </c>
      <c r="Z60" s="278">
        <v>0</v>
      </c>
      <c r="AA60" s="277">
        <v>20786566</v>
      </c>
      <c r="AB60" s="1095">
        <f t="shared" si="2"/>
        <v>8.3146263999999998E-2</v>
      </c>
      <c r="AC60" s="277">
        <v>17325906</v>
      </c>
      <c r="AD60" s="598">
        <f t="shared" si="3"/>
        <v>6.9303623999999994E-2</v>
      </c>
      <c r="AE60" s="1601">
        <f>+AA60-AC60</f>
        <v>3460660</v>
      </c>
      <c r="AF60" s="1532">
        <v>0</v>
      </c>
      <c r="AG60" s="278">
        <v>0</v>
      </c>
      <c r="AH60" s="1097" t="e">
        <f t="shared" si="4"/>
        <v>#DIV/0!</v>
      </c>
      <c r="AI60" s="1602">
        <v>900000000</v>
      </c>
      <c r="AJ60" s="1603">
        <f t="shared" si="17"/>
        <v>20786566</v>
      </c>
      <c r="AK60" s="598">
        <f t="shared" si="5"/>
        <v>2.3096184444444445E-2</v>
      </c>
      <c r="AL60" s="1601"/>
      <c r="AM60" s="1604"/>
      <c r="AN60" s="601" t="s">
        <v>302</v>
      </c>
      <c r="AO60" s="1766" t="s">
        <v>903</v>
      </c>
      <c r="AP60" s="1099"/>
      <c r="AQ60" s="98"/>
    </row>
    <row r="61" spans="1:43" ht="63.75" x14ac:dyDescent="0.25">
      <c r="A61" s="247" t="s">
        <v>552</v>
      </c>
      <c r="B61" s="335" t="s">
        <v>742</v>
      </c>
      <c r="C61" s="370">
        <v>0</v>
      </c>
      <c r="D61" s="304">
        <v>0</v>
      </c>
      <c r="E61" s="1582">
        <v>0</v>
      </c>
      <c r="F61" s="558">
        <v>0</v>
      </c>
      <c r="G61" s="558"/>
      <c r="H61" s="598" t="e">
        <f t="shared" si="41"/>
        <v>#DIV/0!</v>
      </c>
      <c r="I61" s="1087">
        <v>0</v>
      </c>
      <c r="J61" s="601"/>
      <c r="K61" s="1085"/>
      <c r="L61" s="1583"/>
      <c r="M61" s="1584"/>
      <c r="N61" s="1085"/>
      <c r="O61" s="1089"/>
      <c r="P61" s="1089"/>
      <c r="Q61" s="1089"/>
      <c r="R61" s="1091"/>
      <c r="S61" s="1585"/>
      <c r="T61" s="1605">
        <v>4</v>
      </c>
      <c r="U61" s="599">
        <f t="shared" si="44"/>
        <v>0</v>
      </c>
      <c r="V61" s="1594">
        <f t="shared" si="45"/>
        <v>0</v>
      </c>
      <c r="W61" s="407">
        <v>0.15</v>
      </c>
      <c r="X61" s="1579">
        <v>0</v>
      </c>
      <c r="Y61" s="458" t="s">
        <v>892</v>
      </c>
      <c r="Z61" s="278" t="s">
        <v>892</v>
      </c>
      <c r="AA61" s="277">
        <v>0</v>
      </c>
      <c r="AB61" s="1095" t="e">
        <f t="shared" si="2"/>
        <v>#DIV/0!</v>
      </c>
      <c r="AC61" s="277">
        <v>0</v>
      </c>
      <c r="AD61" s="599" t="e">
        <f t="shared" si="3"/>
        <v>#DIV/0!</v>
      </c>
      <c r="AE61" s="1601"/>
      <c r="AF61" s="1532">
        <v>0</v>
      </c>
      <c r="AG61" s="278">
        <v>0</v>
      </c>
      <c r="AH61" s="1097" t="e">
        <f t="shared" si="4"/>
        <v>#DIV/0!</v>
      </c>
      <c r="AI61" s="1603">
        <v>800000000</v>
      </c>
      <c r="AJ61" s="1603">
        <f t="shared" si="17"/>
        <v>0</v>
      </c>
      <c r="AK61" s="598">
        <f t="shared" si="5"/>
        <v>0</v>
      </c>
      <c r="AL61" s="1601"/>
      <c r="AM61" s="1604"/>
      <c r="AN61" s="601" t="s">
        <v>302</v>
      </c>
      <c r="AO61" s="1766" t="s">
        <v>903</v>
      </c>
      <c r="AP61" s="1099"/>
      <c r="AQ61" s="98"/>
    </row>
    <row r="62" spans="1:43" ht="76.5" x14ac:dyDescent="0.25">
      <c r="A62" s="247" t="s">
        <v>553</v>
      </c>
      <c r="B62" s="333" t="s">
        <v>744</v>
      </c>
      <c r="C62" s="1315">
        <v>0.1</v>
      </c>
      <c r="D62" s="302">
        <v>1</v>
      </c>
      <c r="E62" s="1582">
        <v>0</v>
      </c>
      <c r="F62" s="558">
        <v>1</v>
      </c>
      <c r="G62" s="558"/>
      <c r="H62" s="598">
        <f t="shared" si="41"/>
        <v>0</v>
      </c>
      <c r="I62" s="1087">
        <f t="shared" ref="I62" si="46">IF(F62/D62&gt;=100%,100%,F62/D62)</f>
        <v>1</v>
      </c>
      <c r="J62" s="601" t="s">
        <v>956</v>
      </c>
      <c r="K62" s="1085"/>
      <c r="L62" s="1583"/>
      <c r="M62" s="1584"/>
      <c r="N62" s="1085"/>
      <c r="O62" s="1089"/>
      <c r="P62" s="1089"/>
      <c r="Q62" s="1089"/>
      <c r="R62" s="1091"/>
      <c r="S62" s="1585"/>
      <c r="T62" s="1605">
        <v>2</v>
      </c>
      <c r="U62" s="599">
        <f t="shared" si="44"/>
        <v>1</v>
      </c>
      <c r="V62" s="1594">
        <f t="shared" ref="V62:V63" si="47">IF(U62/T62&gt;=100%,100%,U62/T62)</f>
        <v>0.5</v>
      </c>
      <c r="W62" s="405">
        <v>0.2</v>
      </c>
      <c r="X62" s="1579">
        <v>0.5</v>
      </c>
      <c r="Y62" s="458">
        <v>250000000</v>
      </c>
      <c r="Z62" s="274">
        <v>202888056</v>
      </c>
      <c r="AA62" s="277">
        <v>246893921</v>
      </c>
      <c r="AB62" s="1095">
        <f t="shared" si="2"/>
        <v>0.98757568399999995</v>
      </c>
      <c r="AC62" s="277">
        <v>39196618</v>
      </c>
      <c r="AD62" s="598">
        <f t="shared" si="3"/>
        <v>0.15678647200000001</v>
      </c>
      <c r="AE62" s="1601">
        <f>+AA62-AC62</f>
        <v>207697303</v>
      </c>
      <c r="AF62" s="1520">
        <v>366019106.89999998</v>
      </c>
      <c r="AG62" s="1601">
        <v>339219735.20999998</v>
      </c>
      <c r="AH62" s="1097">
        <f t="shared" si="4"/>
        <v>0.92678149532417209</v>
      </c>
      <c r="AI62" s="1602">
        <v>900000000</v>
      </c>
      <c r="AJ62" s="1603">
        <f t="shared" si="17"/>
        <v>449781977</v>
      </c>
      <c r="AK62" s="1096">
        <f t="shared" si="5"/>
        <v>0.49975775222222224</v>
      </c>
      <c r="AL62" s="1601"/>
      <c r="AM62" s="1604"/>
      <c r="AN62" s="601" t="s">
        <v>21</v>
      </c>
      <c r="AO62" s="1766" t="s">
        <v>895</v>
      </c>
      <c r="AP62" s="1099"/>
      <c r="AQ62" s="98"/>
    </row>
    <row r="63" spans="1:43" ht="51.75" thickBot="1" x14ac:dyDescent="0.3">
      <c r="A63" s="942" t="s">
        <v>554</v>
      </c>
      <c r="B63" s="943" t="s">
        <v>745</v>
      </c>
      <c r="C63" s="370">
        <v>0</v>
      </c>
      <c r="D63" s="304">
        <v>0</v>
      </c>
      <c r="E63" s="1638">
        <v>0</v>
      </c>
      <c r="F63" s="908">
        <v>0</v>
      </c>
      <c r="G63" s="908"/>
      <c r="H63" s="894" t="e">
        <f t="shared" si="41"/>
        <v>#DIV/0!</v>
      </c>
      <c r="I63" s="1639">
        <v>0</v>
      </c>
      <c r="J63" s="603"/>
      <c r="K63" s="1640"/>
      <c r="L63" s="1641"/>
      <c r="M63" s="1642"/>
      <c r="N63" s="1640"/>
      <c r="O63" s="1098"/>
      <c r="P63" s="1098"/>
      <c r="Q63" s="1098"/>
      <c r="R63" s="1643"/>
      <c r="S63" s="1098"/>
      <c r="T63" s="1607">
        <v>100</v>
      </c>
      <c r="U63" s="935">
        <f t="shared" si="44"/>
        <v>0</v>
      </c>
      <c r="V63" s="1608">
        <f t="shared" si="47"/>
        <v>0</v>
      </c>
      <c r="W63" s="407">
        <v>0.2</v>
      </c>
      <c r="X63" s="1609">
        <v>0</v>
      </c>
      <c r="Y63" s="944" t="s">
        <v>892</v>
      </c>
      <c r="Z63" s="945" t="s">
        <v>892</v>
      </c>
      <c r="AA63" s="946">
        <v>0</v>
      </c>
      <c r="AB63" s="1610" t="e">
        <f t="shared" si="2"/>
        <v>#DIV/0!</v>
      </c>
      <c r="AC63" s="946">
        <v>0</v>
      </c>
      <c r="AD63" s="935" t="e">
        <f t="shared" si="3"/>
        <v>#DIV/0!</v>
      </c>
      <c r="AE63" s="1611"/>
      <c r="AF63" s="1533">
        <v>0</v>
      </c>
      <c r="AG63" s="945">
        <v>0</v>
      </c>
      <c r="AH63" s="1612" t="e">
        <f t="shared" si="4"/>
        <v>#DIV/0!</v>
      </c>
      <c r="AI63" s="1644">
        <v>1000000000</v>
      </c>
      <c r="AJ63" s="1614">
        <f t="shared" si="17"/>
        <v>0</v>
      </c>
      <c r="AK63" s="894">
        <f t="shared" si="5"/>
        <v>0</v>
      </c>
      <c r="AL63" s="1611"/>
      <c r="AM63" s="1615"/>
      <c r="AN63" s="603" t="s">
        <v>10</v>
      </c>
      <c r="AO63" s="1767" t="s">
        <v>904</v>
      </c>
      <c r="AP63" s="604"/>
      <c r="AQ63" s="594"/>
    </row>
    <row r="64" spans="1:43" ht="13.5" thickBot="1" x14ac:dyDescent="0.3">
      <c r="A64" s="742" t="s">
        <v>461</v>
      </c>
      <c r="B64" s="743"/>
      <c r="C64" s="744"/>
      <c r="D64" s="745"/>
      <c r="E64" s="746"/>
      <c r="F64" s="744"/>
      <c r="G64" s="744"/>
      <c r="H64" s="747">
        <f>+(H65*15%)+(H67*25%)+(H68*25%)+(H69*35%)</f>
        <v>1</v>
      </c>
      <c r="I64" s="747">
        <f>+SUMPRODUCT(I65:I69,X65:X69)</f>
        <v>1</v>
      </c>
      <c r="J64" s="750"/>
      <c r="K64" s="743"/>
      <c r="L64" s="951"/>
      <c r="M64" s="951"/>
      <c r="N64" s="951"/>
      <c r="O64" s="749"/>
      <c r="P64" s="749"/>
      <c r="Q64" s="749"/>
      <c r="R64" s="752"/>
      <c r="S64" s="952"/>
      <c r="T64" s="826"/>
      <c r="U64" s="754"/>
      <c r="V64" s="1646">
        <f>+SUMPRODUCT(V65:V69,W65:W69)</f>
        <v>0.60238095238095246</v>
      </c>
      <c r="W64" s="1619">
        <v>0.5</v>
      </c>
      <c r="X64" s="1620">
        <v>0.5</v>
      </c>
      <c r="Y64" s="1621">
        <f>SUM(Y65:Y69)</f>
        <v>600000000</v>
      </c>
      <c r="Z64" s="1621">
        <f>SUM(Z65:Z69)</f>
        <v>1417500000</v>
      </c>
      <c r="AA64" s="1621">
        <f>SUM(AA65:AA69)</f>
        <v>592228644</v>
      </c>
      <c r="AB64" s="1622">
        <f t="shared" si="2"/>
        <v>0.98704773999999995</v>
      </c>
      <c r="AC64" s="1621">
        <f>SUM(AC65:AC69)</f>
        <v>585748345</v>
      </c>
      <c r="AD64" s="1626">
        <f t="shared" si="3"/>
        <v>0.97624724166666665</v>
      </c>
      <c r="AE64" s="1624">
        <f>SUM(AE65:AE69)</f>
        <v>6480299</v>
      </c>
      <c r="AF64" s="1616">
        <f>SUM(AF65:AF69)</f>
        <v>1375000000</v>
      </c>
      <c r="AG64" s="1621">
        <f>SUM(AG65:AG69)</f>
        <v>1375000000</v>
      </c>
      <c r="AH64" s="1633">
        <f t="shared" si="4"/>
        <v>1</v>
      </c>
      <c r="AI64" s="1621">
        <f>SUM(AI65:AI69)</f>
        <v>4730000000</v>
      </c>
      <c r="AJ64" s="1621">
        <f>SUM(AJ65:AJ69)</f>
        <v>2009728644</v>
      </c>
      <c r="AK64" s="1617">
        <f t="shared" si="5"/>
        <v>0.42488977674418604</v>
      </c>
      <c r="AL64" s="928"/>
      <c r="AM64" s="761"/>
      <c r="AN64" s="210"/>
      <c r="AO64" s="928"/>
      <c r="AP64" s="213"/>
      <c r="AQ64" s="213"/>
    </row>
    <row r="65" spans="1:43" ht="114.75" x14ac:dyDescent="0.25">
      <c r="A65" s="248" t="s">
        <v>555</v>
      </c>
      <c r="B65" s="336" t="s">
        <v>746</v>
      </c>
      <c r="C65" s="371">
        <v>1</v>
      </c>
      <c r="D65" s="305">
        <v>0</v>
      </c>
      <c r="E65" s="727">
        <v>0</v>
      </c>
      <c r="F65" s="728">
        <v>0</v>
      </c>
      <c r="G65" s="992">
        <v>1</v>
      </c>
      <c r="H65" s="1592">
        <f t="shared" si="41"/>
        <v>1</v>
      </c>
      <c r="I65" s="1637">
        <v>0</v>
      </c>
      <c r="J65" s="602" t="s">
        <v>1518</v>
      </c>
      <c r="K65" s="1587"/>
      <c r="L65" s="1588"/>
      <c r="M65" s="1589"/>
      <c r="N65" s="1587"/>
      <c r="O65" s="1590"/>
      <c r="P65" s="1590"/>
      <c r="Q65" s="1590"/>
      <c r="R65" s="1591"/>
      <c r="S65" s="1627"/>
      <c r="T65" s="1628">
        <v>1</v>
      </c>
      <c r="U65" s="993">
        <f>SUM(E65:G65)</f>
        <v>1</v>
      </c>
      <c r="V65" s="1594">
        <f>IF(U65/T65&gt;=100%,100%,U65/T65)</f>
        <v>1</v>
      </c>
      <c r="W65" s="408">
        <v>0.1</v>
      </c>
      <c r="X65" s="1595">
        <v>0</v>
      </c>
      <c r="Y65" s="950">
        <v>0</v>
      </c>
      <c r="Z65" s="275">
        <v>300000000</v>
      </c>
      <c r="AA65" s="275">
        <v>0</v>
      </c>
      <c r="AB65" s="1596" t="e">
        <f t="shared" si="2"/>
        <v>#DIV/0!</v>
      </c>
      <c r="AC65" s="275">
        <v>0</v>
      </c>
      <c r="AD65" s="993" t="e">
        <f t="shared" si="3"/>
        <v>#DIV/0!</v>
      </c>
      <c r="AE65" s="1598"/>
      <c r="AF65" s="1522">
        <v>300000000</v>
      </c>
      <c r="AG65" s="275">
        <v>300000000</v>
      </c>
      <c r="AH65" s="1097">
        <f t="shared" si="4"/>
        <v>1</v>
      </c>
      <c r="AI65" s="1599">
        <v>300000000</v>
      </c>
      <c r="AJ65" s="1599">
        <f t="shared" si="17"/>
        <v>300000000</v>
      </c>
      <c r="AK65" s="1597">
        <f t="shared" si="5"/>
        <v>1</v>
      </c>
      <c r="AL65" s="1598"/>
      <c r="AM65" s="1600"/>
      <c r="AN65" s="591" t="s">
        <v>302</v>
      </c>
      <c r="AO65" s="337" t="s">
        <v>905</v>
      </c>
      <c r="AP65" s="595"/>
      <c r="AQ65" s="595"/>
    </row>
    <row r="66" spans="1:43" ht="114.75" x14ac:dyDescent="0.25">
      <c r="A66" s="248" t="s">
        <v>556</v>
      </c>
      <c r="B66" s="337" t="s">
        <v>17</v>
      </c>
      <c r="C66" s="371">
        <v>0</v>
      </c>
      <c r="D66" s="305">
        <v>2</v>
      </c>
      <c r="E66" s="182">
        <v>0</v>
      </c>
      <c r="F66" s="147">
        <v>2</v>
      </c>
      <c r="G66" s="558"/>
      <c r="H66" s="598" t="e">
        <f t="shared" si="41"/>
        <v>#DIV/0!</v>
      </c>
      <c r="I66" s="1087">
        <f t="shared" ref="I66:I67" si="48">IF(F66/D66&gt;=100%,100%,F66/D66)</f>
        <v>1</v>
      </c>
      <c r="J66" s="601" t="s">
        <v>957</v>
      </c>
      <c r="K66" s="1085"/>
      <c r="L66" s="1583"/>
      <c r="M66" s="1584"/>
      <c r="N66" s="1085"/>
      <c r="O66" s="1089"/>
      <c r="P66" s="1089"/>
      <c r="Q66" s="1089"/>
      <c r="R66" s="1091"/>
      <c r="S66" s="1585"/>
      <c r="T66" s="1605">
        <v>6</v>
      </c>
      <c r="U66" s="599">
        <f>SUM(E66:G66)</f>
        <v>2</v>
      </c>
      <c r="V66" s="1645">
        <f t="shared" ref="V66:V69" si="49">IF(U66/T66&gt;=100%,100%,U66/T66)</f>
        <v>0.33333333333333331</v>
      </c>
      <c r="W66" s="408">
        <v>0.2</v>
      </c>
      <c r="X66" s="1579">
        <v>0.5</v>
      </c>
      <c r="Y66" s="460">
        <v>300000000</v>
      </c>
      <c r="Z66" s="278" t="s">
        <v>892</v>
      </c>
      <c r="AA66" s="274">
        <v>296110717</v>
      </c>
      <c r="AB66" s="1095">
        <f t="shared" si="2"/>
        <v>0.98703572333333334</v>
      </c>
      <c r="AC66" s="274">
        <v>292869958</v>
      </c>
      <c r="AD66" s="1096">
        <f t="shared" si="3"/>
        <v>0.97623319333333336</v>
      </c>
      <c r="AE66" s="1601">
        <f>+AA66-AC66</f>
        <v>3240759</v>
      </c>
      <c r="AF66" s="1532" t="s">
        <v>892</v>
      </c>
      <c r="AG66" s="278" t="s">
        <v>892</v>
      </c>
      <c r="AH66" s="1097" t="e">
        <f t="shared" si="4"/>
        <v>#DIV/0!</v>
      </c>
      <c r="AI66" s="1603">
        <v>1200000000</v>
      </c>
      <c r="AJ66" s="1603">
        <f t="shared" si="17"/>
        <v>296110717</v>
      </c>
      <c r="AK66" s="598">
        <f t="shared" si="5"/>
        <v>0.24675893083333333</v>
      </c>
      <c r="AL66" s="1601"/>
      <c r="AM66" s="1604"/>
      <c r="AN66" s="151" t="s">
        <v>16</v>
      </c>
      <c r="AO66" s="1768" t="s">
        <v>905</v>
      </c>
      <c r="AP66" s="98"/>
      <c r="AQ66" s="98"/>
    </row>
    <row r="67" spans="1:43" ht="102" x14ac:dyDescent="0.25">
      <c r="A67" s="248" t="s">
        <v>557</v>
      </c>
      <c r="B67" s="337" t="s">
        <v>747</v>
      </c>
      <c r="C67" s="371">
        <v>1</v>
      </c>
      <c r="D67" s="305">
        <v>2</v>
      </c>
      <c r="E67" s="182">
        <v>0</v>
      </c>
      <c r="F67" s="147">
        <v>2</v>
      </c>
      <c r="G67" s="558">
        <v>1</v>
      </c>
      <c r="H67" s="598">
        <f t="shared" si="41"/>
        <v>1</v>
      </c>
      <c r="I67" s="1087">
        <f t="shared" si="48"/>
        <v>1</v>
      </c>
      <c r="J67" s="601" t="s">
        <v>958</v>
      </c>
      <c r="K67" s="1085"/>
      <c r="L67" s="1583"/>
      <c r="M67" s="1584"/>
      <c r="N67" s="1085"/>
      <c r="O67" s="1089"/>
      <c r="P67" s="1089"/>
      <c r="Q67" s="1089"/>
      <c r="R67" s="1091"/>
      <c r="S67" s="1585"/>
      <c r="T67" s="1605">
        <v>4</v>
      </c>
      <c r="U67" s="599">
        <f>SUM(E67:G67)</f>
        <v>3</v>
      </c>
      <c r="V67" s="1645">
        <f t="shared" si="49"/>
        <v>0.75</v>
      </c>
      <c r="W67" s="408">
        <v>0.2</v>
      </c>
      <c r="X67" s="1579">
        <v>0.5</v>
      </c>
      <c r="Y67" s="460">
        <v>300000000</v>
      </c>
      <c r="Z67" s="274">
        <v>220000000</v>
      </c>
      <c r="AA67" s="274">
        <v>296117927</v>
      </c>
      <c r="AB67" s="1095">
        <f t="shared" si="2"/>
        <v>0.98705975666666668</v>
      </c>
      <c r="AC67" s="274">
        <v>292878387</v>
      </c>
      <c r="AD67" s="1096">
        <f t="shared" si="3"/>
        <v>0.97626128999999995</v>
      </c>
      <c r="AE67" s="1601">
        <f>+AA67-AC67</f>
        <v>3239540</v>
      </c>
      <c r="AF67" s="1520">
        <v>220000000</v>
      </c>
      <c r="AG67" s="274">
        <v>220000000</v>
      </c>
      <c r="AH67" s="1097">
        <f t="shared" si="4"/>
        <v>1</v>
      </c>
      <c r="AI67" s="1603">
        <v>880000000</v>
      </c>
      <c r="AJ67" s="1603">
        <f t="shared" si="17"/>
        <v>516117927</v>
      </c>
      <c r="AK67" s="1096">
        <f t="shared" si="5"/>
        <v>0.58649764431818185</v>
      </c>
      <c r="AL67" s="1601"/>
      <c r="AM67" s="1604"/>
      <c r="AN67" s="151" t="s">
        <v>302</v>
      </c>
      <c r="AO67" s="1768" t="s">
        <v>906</v>
      </c>
      <c r="AP67" s="98"/>
      <c r="AQ67" s="98"/>
    </row>
    <row r="68" spans="1:43" ht="25.5" x14ac:dyDescent="0.25">
      <c r="A68" s="248" t="s">
        <v>558</v>
      </c>
      <c r="B68" s="337" t="s">
        <v>748</v>
      </c>
      <c r="C68" s="371">
        <v>1</v>
      </c>
      <c r="D68" s="305">
        <v>0</v>
      </c>
      <c r="E68" s="182">
        <v>0</v>
      </c>
      <c r="F68" s="147"/>
      <c r="G68" s="558">
        <v>1</v>
      </c>
      <c r="H68" s="598">
        <f t="shared" si="41"/>
        <v>1</v>
      </c>
      <c r="I68" s="1087">
        <v>0</v>
      </c>
      <c r="J68" s="601" t="s">
        <v>1126</v>
      </c>
      <c r="K68" s="1085"/>
      <c r="L68" s="1583"/>
      <c r="M68" s="1584"/>
      <c r="N68" s="1085"/>
      <c r="O68" s="1089"/>
      <c r="P68" s="1089"/>
      <c r="Q68" s="1089"/>
      <c r="R68" s="1091"/>
      <c r="S68" s="1089"/>
      <c r="T68" s="1605">
        <v>1</v>
      </c>
      <c r="U68" s="599">
        <f t="shared" ref="U68:U69" si="50">SUM(E68:G68)</f>
        <v>1</v>
      </c>
      <c r="V68" s="1645">
        <f t="shared" si="49"/>
        <v>1</v>
      </c>
      <c r="W68" s="408">
        <v>0.2</v>
      </c>
      <c r="X68" s="1579">
        <v>0</v>
      </c>
      <c r="Y68" s="459">
        <v>0</v>
      </c>
      <c r="Z68" s="274">
        <v>500000000</v>
      </c>
      <c r="AA68" s="274">
        <v>0</v>
      </c>
      <c r="AB68" s="1095" t="e">
        <f t="shared" si="2"/>
        <v>#DIV/0!</v>
      </c>
      <c r="AC68" s="274">
        <v>0</v>
      </c>
      <c r="AD68" s="599" t="e">
        <f t="shared" si="3"/>
        <v>#DIV/0!</v>
      </c>
      <c r="AE68" s="1601"/>
      <c r="AF68" s="1520">
        <v>475000000</v>
      </c>
      <c r="AG68" s="274">
        <v>475000000</v>
      </c>
      <c r="AH68" s="1097">
        <f t="shared" si="4"/>
        <v>1</v>
      </c>
      <c r="AI68" s="1603">
        <v>600000000</v>
      </c>
      <c r="AJ68" s="1603">
        <f t="shared" si="17"/>
        <v>500000000</v>
      </c>
      <c r="AK68" s="1096">
        <f t="shared" si="5"/>
        <v>0.83333333333333337</v>
      </c>
      <c r="AL68" s="1601"/>
      <c r="AM68" s="1604"/>
      <c r="AN68" s="151" t="s">
        <v>302</v>
      </c>
      <c r="AO68" s="1768" t="s">
        <v>907</v>
      </c>
      <c r="AP68" s="98"/>
      <c r="AQ68" s="98"/>
    </row>
    <row r="69" spans="1:43" ht="102.75" thickBot="1" x14ac:dyDescent="0.3">
      <c r="A69" s="931" t="s">
        <v>559</v>
      </c>
      <c r="B69" s="932" t="s">
        <v>749</v>
      </c>
      <c r="C69" s="933">
        <v>2</v>
      </c>
      <c r="D69" s="934">
        <v>0</v>
      </c>
      <c r="E69" s="668">
        <v>0</v>
      </c>
      <c r="F69" s="573"/>
      <c r="G69" s="573">
        <v>2</v>
      </c>
      <c r="H69" s="561">
        <f t="shared" si="41"/>
        <v>1</v>
      </c>
      <c r="I69" s="669">
        <v>0</v>
      </c>
      <c r="J69" s="603" t="s">
        <v>1127</v>
      </c>
      <c r="K69" s="568"/>
      <c r="L69" s="177"/>
      <c r="M69" s="178"/>
      <c r="N69" s="568"/>
      <c r="O69" s="168"/>
      <c r="P69" s="168"/>
      <c r="Q69" s="168"/>
      <c r="R69" s="574"/>
      <c r="S69" s="168"/>
      <c r="T69" s="192">
        <v>7</v>
      </c>
      <c r="U69" s="935">
        <f t="shared" si="50"/>
        <v>2</v>
      </c>
      <c r="V69" s="936">
        <f t="shared" si="49"/>
        <v>0.2857142857142857</v>
      </c>
      <c r="W69" s="937">
        <v>0.3</v>
      </c>
      <c r="X69" s="938">
        <v>0</v>
      </c>
      <c r="Y69" s="939">
        <v>0</v>
      </c>
      <c r="Z69" s="906">
        <v>397500000</v>
      </c>
      <c r="AA69" s="906">
        <v>0</v>
      </c>
      <c r="AB69" s="580" t="e">
        <f t="shared" si="2"/>
        <v>#DIV/0!</v>
      </c>
      <c r="AC69" s="906">
        <v>0</v>
      </c>
      <c r="AD69" s="555" t="e">
        <f t="shared" si="3"/>
        <v>#DIV/0!</v>
      </c>
      <c r="AE69" s="163"/>
      <c r="AF69" s="1521">
        <v>380000000</v>
      </c>
      <c r="AG69" s="906">
        <v>380000000</v>
      </c>
      <c r="AH69" s="581">
        <f t="shared" si="4"/>
        <v>1</v>
      </c>
      <c r="AI69" s="582">
        <v>1750000000</v>
      </c>
      <c r="AJ69" s="582">
        <f>+SUM(Z69:AA69)</f>
        <v>397500000</v>
      </c>
      <c r="AK69" s="894">
        <f t="shared" si="5"/>
        <v>0.22714285714285715</v>
      </c>
      <c r="AL69" s="163"/>
      <c r="AM69" s="162"/>
      <c r="AN69" s="589" t="s">
        <v>15</v>
      </c>
      <c r="AO69" s="940" t="s">
        <v>906</v>
      </c>
      <c r="AP69" s="1806"/>
      <c r="AQ69" s="1807"/>
    </row>
    <row r="70" spans="1:43" s="554" customFormat="1" ht="39" thickBot="1" x14ac:dyDescent="0.3">
      <c r="A70" s="628" t="s">
        <v>430</v>
      </c>
      <c r="B70" s="629"/>
      <c r="C70" s="630"/>
      <c r="D70" s="631"/>
      <c r="E70" s="632"/>
      <c r="F70" s="630"/>
      <c r="G70" s="630"/>
      <c r="H70" s="837">
        <f>+(H71*0%)+(H74*0%)+(H76*100%)</f>
        <v>0.8</v>
      </c>
      <c r="I70" s="633">
        <f>+(I71*X71)+(I74*X74)+(I76*X76)</f>
        <v>0.3</v>
      </c>
      <c r="J70" s="637"/>
      <c r="K70" s="629"/>
      <c r="L70" s="636"/>
      <c r="M70" s="637"/>
      <c r="N70" s="637"/>
      <c r="O70" s="636"/>
      <c r="P70" s="636"/>
      <c r="Q70" s="636"/>
      <c r="R70" s="639"/>
      <c r="S70" s="636"/>
      <c r="T70" s="838"/>
      <c r="U70" s="641"/>
      <c r="V70" s="680">
        <f>+(V71*W71)+(V74*W74)+(V76*W76)</f>
        <v>0.15</v>
      </c>
      <c r="W70" s="646">
        <v>0.3</v>
      </c>
      <c r="X70" s="657">
        <v>0.3</v>
      </c>
      <c r="Y70" s="642">
        <f>+Y71+Y74+Y76</f>
        <v>623875573</v>
      </c>
      <c r="Z70" s="642">
        <f>+Z71+Z74+Z76</f>
        <v>837503911</v>
      </c>
      <c r="AA70" s="642">
        <f>+AA71+AA74+AA76</f>
        <v>620295093.20000005</v>
      </c>
      <c r="AB70" s="643">
        <f t="shared" si="2"/>
        <v>0.9942609072145866</v>
      </c>
      <c r="AC70" s="642">
        <f>+AC71+AC74+AC76</f>
        <v>272712026</v>
      </c>
      <c r="AD70" s="1635">
        <f t="shared" si="3"/>
        <v>0.43712566704386741</v>
      </c>
      <c r="AE70" s="629">
        <f>+AE71+AE74+AE76</f>
        <v>347583067.19999999</v>
      </c>
      <c r="AF70" s="637">
        <f>+AF71+AF74+AF76</f>
        <v>22463300</v>
      </c>
      <c r="AG70" s="642">
        <f>+AG71+AG74+AG76</f>
        <v>20152235</v>
      </c>
      <c r="AH70" s="645">
        <f t="shared" si="4"/>
        <v>0.89711818833386014</v>
      </c>
      <c r="AI70" s="642">
        <f t="shared" ref="AI70:AJ70" si="51">+AI71+AI74+AI76</f>
        <v>4850000000</v>
      </c>
      <c r="AJ70" s="642">
        <f t="shared" si="51"/>
        <v>1457799004.2</v>
      </c>
      <c r="AK70" s="1635">
        <f t="shared" si="5"/>
        <v>0.30057711426804123</v>
      </c>
      <c r="AL70" s="636"/>
      <c r="AM70" s="636" t="s">
        <v>299</v>
      </c>
      <c r="AN70" s="637"/>
      <c r="AO70" s="629"/>
      <c r="AP70" s="941"/>
      <c r="AQ70" s="941"/>
    </row>
    <row r="71" spans="1:43" ht="13.5" thickBot="1" x14ac:dyDescent="0.3">
      <c r="A71" s="742" t="s">
        <v>462</v>
      </c>
      <c r="B71" s="743"/>
      <c r="C71" s="744"/>
      <c r="D71" s="745"/>
      <c r="E71" s="746"/>
      <c r="F71" s="744"/>
      <c r="G71" s="744"/>
      <c r="H71" s="747">
        <v>0</v>
      </c>
      <c r="I71" s="747">
        <f>+SUMPRODUCT(I72:I73,X72:X73)</f>
        <v>1</v>
      </c>
      <c r="J71" s="750"/>
      <c r="K71" s="743"/>
      <c r="L71" s="749"/>
      <c r="M71" s="750"/>
      <c r="N71" s="750"/>
      <c r="O71" s="749"/>
      <c r="P71" s="749"/>
      <c r="Q71" s="749"/>
      <c r="R71" s="752"/>
      <c r="S71" s="749"/>
      <c r="T71" s="826"/>
      <c r="U71" s="754"/>
      <c r="V71" s="755">
        <f>+SUMPRODUCT(V72:V73,W72:W73)</f>
        <v>9.9999999999999992E-2</v>
      </c>
      <c r="W71" s="747">
        <v>0.3</v>
      </c>
      <c r="X71" s="756">
        <v>0.3</v>
      </c>
      <c r="Y71" s="757">
        <f>SUM(Y72:Y73)</f>
        <v>100000000</v>
      </c>
      <c r="Z71" s="757">
        <f>SUM(Z72:Z73)</f>
        <v>0</v>
      </c>
      <c r="AA71" s="757">
        <f>SUM(AA72:AA73)</f>
        <v>98322560</v>
      </c>
      <c r="AB71" s="758">
        <f t="shared" si="2"/>
        <v>0.98322560000000003</v>
      </c>
      <c r="AC71" s="757">
        <f>SUM(AC72:AC73)</f>
        <v>7145145</v>
      </c>
      <c r="AD71" s="1617">
        <f t="shared" si="3"/>
        <v>7.145145E-2</v>
      </c>
      <c r="AE71" s="1624">
        <f>SUM(AE72:AE73)</f>
        <v>91177415</v>
      </c>
      <c r="AF71" s="1616">
        <f>SUM(AF72:AF73)</f>
        <v>0</v>
      </c>
      <c r="AG71" s="1621">
        <f>SUM(AG72:AG73)</f>
        <v>0</v>
      </c>
      <c r="AH71" s="1633" t="e">
        <f t="shared" si="4"/>
        <v>#DIV/0!</v>
      </c>
      <c r="AI71" s="1621">
        <f t="shared" ref="AI71:AJ71" si="52">SUM(AI72:AI73)</f>
        <v>1450000000</v>
      </c>
      <c r="AJ71" s="1621">
        <f t="shared" si="52"/>
        <v>98322560</v>
      </c>
      <c r="AK71" s="1617">
        <f t="shared" si="5"/>
        <v>6.780866206896552E-2</v>
      </c>
      <c r="AL71" s="928"/>
      <c r="AM71" s="761"/>
      <c r="AN71" s="210"/>
      <c r="AO71" s="928"/>
      <c r="AP71" s="213"/>
      <c r="AQ71" s="213"/>
    </row>
    <row r="72" spans="1:43" ht="63.75" x14ac:dyDescent="0.25">
      <c r="A72" s="249" t="s">
        <v>560</v>
      </c>
      <c r="B72" s="338" t="s">
        <v>750</v>
      </c>
      <c r="C72" s="372">
        <v>0</v>
      </c>
      <c r="D72" s="306">
        <v>1</v>
      </c>
      <c r="E72" s="727">
        <v>0</v>
      </c>
      <c r="F72" s="992">
        <v>1</v>
      </c>
      <c r="G72" s="992"/>
      <c r="H72" s="1592" t="e">
        <f t="shared" ref="H72:H73" si="53">IF((E72+G72)/C72&gt;=100%,100%,(E72+G72)/C72)</f>
        <v>#DIV/0!</v>
      </c>
      <c r="I72" s="1637">
        <f t="shared" ref="I72" si="54">IF(F72/D72&gt;=100%,100%,F72/D72)</f>
        <v>1</v>
      </c>
      <c r="J72" s="914" t="s">
        <v>1105</v>
      </c>
      <c r="K72" s="1647"/>
      <c r="L72" s="1588"/>
      <c r="M72" s="1589"/>
      <c r="N72" s="1587"/>
      <c r="O72" s="1648"/>
      <c r="P72" s="1648"/>
      <c r="Q72" s="1648"/>
      <c r="R72" s="1591"/>
      <c r="S72" s="1648"/>
      <c r="T72" s="1649">
        <v>3</v>
      </c>
      <c r="U72" s="993">
        <f>SUM(E72:G72)</f>
        <v>1</v>
      </c>
      <c r="V72" s="1594">
        <f>IF(U72/T72&gt;=100%,100%,U72/T72)</f>
        <v>0.33333333333333331</v>
      </c>
      <c r="W72" s="1650">
        <v>0.3</v>
      </c>
      <c r="X72" s="1651">
        <v>1</v>
      </c>
      <c r="Y72" s="929">
        <v>100000000</v>
      </c>
      <c r="Z72" s="930" t="s">
        <v>892</v>
      </c>
      <c r="AA72" s="929">
        <v>98322560</v>
      </c>
      <c r="AB72" s="1596">
        <f t="shared" ref="AB72:AB135" si="55">+AA72/Y72</f>
        <v>0.98322560000000003</v>
      </c>
      <c r="AC72" s="929">
        <v>7145145</v>
      </c>
      <c r="AD72" s="1652">
        <f t="shared" si="3"/>
        <v>7.145145E-2</v>
      </c>
      <c r="AE72" s="1598">
        <f>+AA72-AC72</f>
        <v>91177415</v>
      </c>
      <c r="AF72" s="1534" t="s">
        <v>892</v>
      </c>
      <c r="AG72" s="930" t="s">
        <v>892</v>
      </c>
      <c r="AH72" s="1097" t="e">
        <f t="shared" si="4"/>
        <v>#DIV/0!</v>
      </c>
      <c r="AI72" s="1599">
        <v>450000000</v>
      </c>
      <c r="AJ72" s="1599">
        <f t="shared" si="17"/>
        <v>98322560</v>
      </c>
      <c r="AK72" s="1652">
        <f t="shared" si="5"/>
        <v>0.21849457777777778</v>
      </c>
      <c r="AL72" s="1653"/>
      <c r="AM72" s="1600"/>
      <c r="AN72" s="591" t="s">
        <v>19</v>
      </c>
      <c r="AO72" s="1926" t="s">
        <v>908</v>
      </c>
      <c r="AP72" s="595"/>
      <c r="AQ72" s="595"/>
    </row>
    <row r="73" spans="1:43" ht="39" thickBot="1" x14ac:dyDescent="0.3">
      <c r="A73" s="923" t="s">
        <v>561</v>
      </c>
      <c r="B73" s="876" t="s">
        <v>751</v>
      </c>
      <c r="C73" s="900">
        <v>0</v>
      </c>
      <c r="D73" s="901">
        <v>0</v>
      </c>
      <c r="E73" s="668">
        <v>0</v>
      </c>
      <c r="F73" s="908">
        <v>0</v>
      </c>
      <c r="G73" s="908"/>
      <c r="H73" s="894" t="e">
        <f t="shared" si="53"/>
        <v>#DIV/0!</v>
      </c>
      <c r="I73" s="1639">
        <v>0</v>
      </c>
      <c r="J73" s="603"/>
      <c r="K73" s="1640"/>
      <c r="L73" s="1641"/>
      <c r="M73" s="1642"/>
      <c r="N73" s="1640"/>
      <c r="O73" s="1098"/>
      <c r="P73" s="1098"/>
      <c r="Q73" s="1098"/>
      <c r="R73" s="1643"/>
      <c r="S73" s="1098"/>
      <c r="T73" s="935">
        <v>4</v>
      </c>
      <c r="U73" s="935">
        <f>SUM(E73:G73)</f>
        <v>0</v>
      </c>
      <c r="V73" s="1608">
        <f>IF(U73/T73&gt;=100%,100%,U73/T73)</f>
        <v>0</v>
      </c>
      <c r="W73" s="1654">
        <v>0.7</v>
      </c>
      <c r="X73" s="1655">
        <v>0</v>
      </c>
      <c r="Y73" s="924" t="s">
        <v>892</v>
      </c>
      <c r="Z73" s="920" t="s">
        <v>892</v>
      </c>
      <c r="AA73" s="925">
        <v>0</v>
      </c>
      <c r="AB73" s="1610" t="e">
        <f t="shared" si="55"/>
        <v>#DIV/0!</v>
      </c>
      <c r="AC73" s="925">
        <v>0</v>
      </c>
      <c r="AD73" s="935" t="e">
        <f t="shared" ref="AD73:AD136" si="56">+AC73/Y73</f>
        <v>#DIV/0!</v>
      </c>
      <c r="AE73" s="1611"/>
      <c r="AF73" s="1535" t="s">
        <v>892</v>
      </c>
      <c r="AG73" s="920" t="s">
        <v>892</v>
      </c>
      <c r="AH73" s="1612" t="e">
        <f t="shared" ref="AH73:AH136" si="57">+AG73/AF73</f>
        <v>#DIV/0!</v>
      </c>
      <c r="AI73" s="1614">
        <v>1000000000</v>
      </c>
      <c r="AJ73" s="1614">
        <f t="shared" si="17"/>
        <v>0</v>
      </c>
      <c r="AK73" s="894">
        <f t="shared" ref="AK73" si="58">+AJ73/AI73</f>
        <v>0</v>
      </c>
      <c r="AL73" s="1611"/>
      <c r="AM73" s="1615"/>
      <c r="AN73" s="589" t="s">
        <v>19</v>
      </c>
      <c r="AO73" s="1926"/>
      <c r="AP73" s="594"/>
      <c r="AQ73" s="594"/>
    </row>
    <row r="74" spans="1:43" ht="13.5" thickBot="1" x14ac:dyDescent="0.3">
      <c r="A74" s="742" t="s">
        <v>463</v>
      </c>
      <c r="B74" s="743"/>
      <c r="C74" s="744"/>
      <c r="D74" s="745"/>
      <c r="E74" s="746"/>
      <c r="F74" s="744"/>
      <c r="G74" s="744"/>
      <c r="H74" s="747">
        <v>0</v>
      </c>
      <c r="I74" s="747">
        <f>+SUMPRODUCT(I75:I75,X75:X75)</f>
        <v>0</v>
      </c>
      <c r="J74" s="750"/>
      <c r="K74" s="743"/>
      <c r="L74" s="749"/>
      <c r="M74" s="750"/>
      <c r="N74" s="750"/>
      <c r="O74" s="749"/>
      <c r="P74" s="749"/>
      <c r="Q74" s="749"/>
      <c r="R74" s="752"/>
      <c r="S74" s="749"/>
      <c r="T74" s="826"/>
      <c r="U74" s="754"/>
      <c r="V74" s="755">
        <f>+SUMPRODUCT(V75:V75,W75:W75)</f>
        <v>0</v>
      </c>
      <c r="W74" s="747">
        <v>0.4</v>
      </c>
      <c r="X74" s="756">
        <v>0</v>
      </c>
      <c r="Y74" s="757">
        <f>SUM(Y75:Y75)</f>
        <v>0</v>
      </c>
      <c r="Z74" s="757">
        <f>SUM(Z75:Z75)</f>
        <v>0</v>
      </c>
      <c r="AA74" s="757">
        <f>SUM(AA75:AA75)</f>
        <v>0</v>
      </c>
      <c r="AB74" s="758" t="e">
        <f t="shared" si="55"/>
        <v>#DIV/0!</v>
      </c>
      <c r="AC74" s="757">
        <f>SUM(AC75:AC75)</f>
        <v>0</v>
      </c>
      <c r="AD74" s="747" t="e">
        <f t="shared" si="56"/>
        <v>#DIV/0!</v>
      </c>
      <c r="AE74" s="928">
        <f>SUM(AE75:AE75)</f>
        <v>0</v>
      </c>
      <c r="AF74" s="750">
        <f>SUM(AF75:AF75)</f>
        <v>0</v>
      </c>
      <c r="AG74" s="757">
        <f>SUM(AG75:AG75)</f>
        <v>0</v>
      </c>
      <c r="AH74" s="760" t="e">
        <f t="shared" si="57"/>
        <v>#DIV/0!</v>
      </c>
      <c r="AI74" s="757">
        <f>SUM(AI75:AI75)</f>
        <v>2000000000</v>
      </c>
      <c r="AJ74" s="757">
        <f>SUM(AJ75:AJ75)</f>
        <v>0</v>
      </c>
      <c r="AK74" s="747">
        <f t="shared" si="5"/>
        <v>0</v>
      </c>
      <c r="AL74" s="928"/>
      <c r="AM74" s="761"/>
      <c r="AN74" s="210"/>
      <c r="AO74" s="928"/>
      <c r="AP74" s="213"/>
      <c r="AQ74" s="213"/>
    </row>
    <row r="75" spans="1:43" ht="64.5" thickBot="1" x14ac:dyDescent="0.3">
      <c r="A75" s="919" t="s">
        <v>562</v>
      </c>
      <c r="B75" s="340" t="s">
        <v>752</v>
      </c>
      <c r="C75" s="900">
        <v>0</v>
      </c>
      <c r="D75" s="901">
        <v>0</v>
      </c>
      <c r="E75" s="778">
        <v>0</v>
      </c>
      <c r="F75" s="779">
        <v>0</v>
      </c>
      <c r="G75" s="779"/>
      <c r="H75" s="780" t="e">
        <f t="shared" ref="H75:H78" si="59">IF((E75+G75)/C75&gt;=100%,100%,(E75+G75)/C75)</f>
        <v>#DIV/0!</v>
      </c>
      <c r="I75" s="926">
        <v>0</v>
      </c>
      <c r="J75" s="791"/>
      <c r="K75" s="783"/>
      <c r="L75" s="781"/>
      <c r="M75" s="782"/>
      <c r="N75" s="783"/>
      <c r="O75" s="824"/>
      <c r="P75" s="824"/>
      <c r="Q75" s="824"/>
      <c r="R75" s="784"/>
      <c r="S75" s="824"/>
      <c r="T75" s="739">
        <v>3</v>
      </c>
      <c r="U75" s="739">
        <f>SUM(E75:G75)</f>
        <v>0</v>
      </c>
      <c r="V75" s="801">
        <f>IF(U75/T75&gt;=100%,100%,U75/T75)</f>
        <v>0</v>
      </c>
      <c r="W75" s="805">
        <v>1</v>
      </c>
      <c r="X75" s="806">
        <v>0</v>
      </c>
      <c r="Y75" s="813">
        <v>0</v>
      </c>
      <c r="Z75" s="927" t="s">
        <v>892</v>
      </c>
      <c r="AA75" s="927" t="s">
        <v>892</v>
      </c>
      <c r="AB75" s="788" t="e">
        <f t="shared" si="55"/>
        <v>#DIV/0!</v>
      </c>
      <c r="AC75" s="927" t="s">
        <v>892</v>
      </c>
      <c r="AD75" s="739" t="e">
        <f t="shared" si="56"/>
        <v>#DIV/0!</v>
      </c>
      <c r="AE75" s="789"/>
      <c r="AF75" s="1536" t="s">
        <v>892</v>
      </c>
      <c r="AG75" s="927" t="s">
        <v>892</v>
      </c>
      <c r="AH75" s="581" t="e">
        <f t="shared" si="57"/>
        <v>#DIV/0!</v>
      </c>
      <c r="AI75" s="790">
        <v>2000000000</v>
      </c>
      <c r="AJ75" s="790">
        <f t="shared" si="17"/>
        <v>0</v>
      </c>
      <c r="AK75" s="1652">
        <f t="shared" ref="AK75" si="60">+AJ75/AI75</f>
        <v>0</v>
      </c>
      <c r="AL75" s="789"/>
      <c r="AM75" s="741"/>
      <c r="AN75" s="791" t="s">
        <v>19</v>
      </c>
      <c r="AO75" s="1769" t="s">
        <v>910</v>
      </c>
      <c r="AP75" s="586"/>
      <c r="AQ75" s="586"/>
    </row>
    <row r="76" spans="1:43" ht="13.5" thickBot="1" x14ac:dyDescent="0.3">
      <c r="A76" s="742" t="s">
        <v>464</v>
      </c>
      <c r="B76" s="743"/>
      <c r="C76" s="744"/>
      <c r="D76" s="745"/>
      <c r="E76" s="746"/>
      <c r="F76" s="744"/>
      <c r="G76" s="744"/>
      <c r="H76" s="747">
        <f>+(H77*W77)+(H78*W78)</f>
        <v>0.8</v>
      </c>
      <c r="I76" s="747">
        <f>+SUMPRODUCT(I77:I78,X77:X78)</f>
        <v>0</v>
      </c>
      <c r="J76" s="750"/>
      <c r="K76" s="743"/>
      <c r="L76" s="922"/>
      <c r="M76" s="774"/>
      <c r="N76" s="743"/>
      <c r="O76" s="749"/>
      <c r="P76" s="749"/>
      <c r="Q76" s="749"/>
      <c r="R76" s="752"/>
      <c r="S76" s="749"/>
      <c r="T76" s="826"/>
      <c r="U76" s="754"/>
      <c r="V76" s="755">
        <f>+SUMPRODUCT(V77:V78,W77:W78)</f>
        <v>0.4</v>
      </c>
      <c r="W76" s="747">
        <v>0.3</v>
      </c>
      <c r="X76" s="756">
        <v>0.7</v>
      </c>
      <c r="Y76" s="757">
        <f>SUM(Y77:Y78)</f>
        <v>523875573</v>
      </c>
      <c r="Z76" s="757">
        <f>SUM(Z77:Z78)</f>
        <v>837503911</v>
      </c>
      <c r="AA76" s="757">
        <f>SUM(AA77:AA78)</f>
        <v>521972533.19999999</v>
      </c>
      <c r="AB76" s="758">
        <f t="shared" si="55"/>
        <v>0.99636738206917697</v>
      </c>
      <c r="AC76" s="757">
        <f>SUM(AC77:AC78)</f>
        <v>265566881</v>
      </c>
      <c r="AD76" s="748">
        <f t="shared" si="56"/>
        <v>0.50692739781551144</v>
      </c>
      <c r="AE76" s="928">
        <f>SUM(AE77:AE78)</f>
        <v>256405652.19999999</v>
      </c>
      <c r="AF76" s="750">
        <f>SUM(AF77:AF78)</f>
        <v>22463300</v>
      </c>
      <c r="AG76" s="757">
        <f>SUM(AG77:AG78)</f>
        <v>20152235</v>
      </c>
      <c r="AH76" s="760">
        <f t="shared" si="57"/>
        <v>0.89711818833386014</v>
      </c>
      <c r="AI76" s="757">
        <f>SUM(AI77:AI78)</f>
        <v>1400000000</v>
      </c>
      <c r="AJ76" s="757">
        <f>SUM(AJ77:AJ78)</f>
        <v>1359476444.2</v>
      </c>
      <c r="AK76" s="748">
        <f t="shared" ref="AK76:AK140" si="61">+AJ76/AI76</f>
        <v>0.97105460300000002</v>
      </c>
      <c r="AL76" s="761"/>
      <c r="AM76" s="761"/>
      <c r="AN76" s="210"/>
      <c r="AO76" s="928"/>
      <c r="AP76" s="213"/>
      <c r="AQ76" s="213"/>
    </row>
    <row r="77" spans="1:43" ht="229.5" x14ac:dyDescent="0.25">
      <c r="A77" s="250" t="s">
        <v>563</v>
      </c>
      <c r="B77" s="341" t="s">
        <v>753</v>
      </c>
      <c r="C77" s="372">
        <v>2</v>
      </c>
      <c r="D77" s="306">
        <v>0</v>
      </c>
      <c r="E77" s="727">
        <v>2</v>
      </c>
      <c r="F77" s="728">
        <v>0</v>
      </c>
      <c r="G77" s="728"/>
      <c r="H77" s="729">
        <f t="shared" si="59"/>
        <v>1</v>
      </c>
      <c r="I77" s="910">
        <v>0</v>
      </c>
      <c r="J77" s="1656"/>
      <c r="K77" s="1587"/>
      <c r="L77" s="1588"/>
      <c r="M77" s="1589"/>
      <c r="N77" s="1587"/>
      <c r="O77" s="1590"/>
      <c r="P77" s="1590"/>
      <c r="Q77" s="1590"/>
      <c r="R77" s="1591"/>
      <c r="S77" s="1590"/>
      <c r="T77" s="1649">
        <v>4</v>
      </c>
      <c r="U77" s="993">
        <f>SUM(E77:G77)</f>
        <v>2</v>
      </c>
      <c r="V77" s="1594">
        <f t="shared" ref="V77:V78" si="62">IF(U77/T77&gt;=100%,100%,U77/T77)</f>
        <v>0.5</v>
      </c>
      <c r="W77" s="1657">
        <v>0.8</v>
      </c>
      <c r="X77" s="1651">
        <v>0</v>
      </c>
      <c r="Y77" s="1658">
        <v>0</v>
      </c>
      <c r="Z77" s="1658">
        <f>450000000+387503911</f>
        <v>837503911</v>
      </c>
      <c r="AA77" s="1658">
        <v>0</v>
      </c>
      <c r="AB77" s="1596" t="e">
        <f t="shared" si="55"/>
        <v>#DIV/0!</v>
      </c>
      <c r="AC77" s="1658">
        <v>0</v>
      </c>
      <c r="AD77" s="993" t="e">
        <f t="shared" si="56"/>
        <v>#DIV/0!</v>
      </c>
      <c r="AE77" s="1659"/>
      <c r="AF77" s="1660">
        <v>22463300</v>
      </c>
      <c r="AG77" s="1658">
        <v>20152235</v>
      </c>
      <c r="AH77" s="1097">
        <f t="shared" si="57"/>
        <v>0.89711818833386014</v>
      </c>
      <c r="AI77" s="1661">
        <v>1000000000</v>
      </c>
      <c r="AJ77" s="1661">
        <f t="shared" ref="AJ77:AJ78" si="63">+SUM(Z77:AA77)</f>
        <v>837503911</v>
      </c>
      <c r="AK77" s="1597">
        <f t="shared" si="61"/>
        <v>0.83750391099999999</v>
      </c>
      <c r="AL77" s="1600"/>
      <c r="AM77" s="171"/>
      <c r="AN77" s="591" t="s">
        <v>19</v>
      </c>
      <c r="AO77" s="1770" t="s">
        <v>908</v>
      </c>
      <c r="AP77" s="595"/>
      <c r="AQ77" s="595"/>
    </row>
    <row r="78" spans="1:43" ht="230.25" thickBot="1" x14ac:dyDescent="0.3">
      <c r="A78" s="899" t="s">
        <v>564</v>
      </c>
      <c r="B78" s="913" t="s">
        <v>754</v>
      </c>
      <c r="C78" s="900">
        <v>1</v>
      </c>
      <c r="D78" s="901">
        <v>1</v>
      </c>
      <c r="E78" s="668">
        <v>0</v>
      </c>
      <c r="F78" s="573">
        <v>0</v>
      </c>
      <c r="G78" s="573"/>
      <c r="H78" s="561">
        <f t="shared" si="59"/>
        <v>0</v>
      </c>
      <c r="I78" s="669">
        <f t="shared" ref="I78" si="64">IF(F78/D78&gt;=100%,100%,F78/D78)</f>
        <v>0</v>
      </c>
      <c r="J78" s="914" t="s">
        <v>959</v>
      </c>
      <c r="K78" s="1647"/>
      <c r="L78" s="1641"/>
      <c r="M78" s="1642"/>
      <c r="N78" s="1640"/>
      <c r="O78" s="1648"/>
      <c r="P78" s="1648"/>
      <c r="Q78" s="1648"/>
      <c r="R78" s="1643"/>
      <c r="S78" s="1648"/>
      <c r="T78" s="935">
        <v>4</v>
      </c>
      <c r="U78" s="935">
        <f>SUM(E78:G78)</f>
        <v>0</v>
      </c>
      <c r="V78" s="1608">
        <f t="shared" si="62"/>
        <v>0</v>
      </c>
      <c r="W78" s="1662">
        <v>0.2</v>
      </c>
      <c r="X78" s="1655">
        <v>1</v>
      </c>
      <c r="Y78" s="915">
        <v>523875573</v>
      </c>
      <c r="Z78" s="1663">
        <v>0</v>
      </c>
      <c r="AA78" s="1663">
        <v>521972533.19999999</v>
      </c>
      <c r="AB78" s="1610">
        <f t="shared" si="55"/>
        <v>0.99636738206917697</v>
      </c>
      <c r="AC78" s="1663">
        <v>265566881</v>
      </c>
      <c r="AD78" s="1104">
        <f t="shared" si="56"/>
        <v>0.50692739781551144</v>
      </c>
      <c r="AE78" s="1664">
        <f>+AA78-AC78</f>
        <v>256405652.19999999</v>
      </c>
      <c r="AF78" s="1665">
        <v>0</v>
      </c>
      <c r="AG78" s="1663">
        <v>0</v>
      </c>
      <c r="AH78" s="1612" t="e">
        <f t="shared" si="57"/>
        <v>#DIV/0!</v>
      </c>
      <c r="AI78" s="1666">
        <v>400000000</v>
      </c>
      <c r="AJ78" s="1666">
        <f t="shared" si="63"/>
        <v>521972533.19999999</v>
      </c>
      <c r="AK78" s="1104">
        <f t="shared" si="61"/>
        <v>1.3049313329999999</v>
      </c>
      <c r="AL78" s="1615"/>
      <c r="AM78" s="162"/>
      <c r="AN78" s="589" t="s">
        <v>19</v>
      </c>
      <c r="AO78" s="1771" t="s">
        <v>908</v>
      </c>
      <c r="AP78" s="594"/>
      <c r="AQ78" s="594"/>
    </row>
    <row r="79" spans="1:43" ht="39" thickBot="1" x14ac:dyDescent="0.3">
      <c r="A79" s="628" t="s">
        <v>431</v>
      </c>
      <c r="B79" s="687"/>
      <c r="C79" s="688"/>
      <c r="D79" s="689"/>
      <c r="E79" s="690"/>
      <c r="F79" s="688"/>
      <c r="G79" s="688"/>
      <c r="H79" s="916">
        <f>+(H80*70%)+(H92*0%)+(H97*30%)</f>
        <v>0.60099999999999998</v>
      </c>
      <c r="I79" s="701">
        <f>+(I80*X80)+(I92*X92)+(I97*X97)</f>
        <v>0.66400000000000003</v>
      </c>
      <c r="J79" s="694"/>
      <c r="K79" s="687"/>
      <c r="L79" s="693"/>
      <c r="M79" s="694"/>
      <c r="N79" s="694"/>
      <c r="O79" s="693"/>
      <c r="P79" s="693"/>
      <c r="Q79" s="693"/>
      <c r="R79" s="696"/>
      <c r="S79" s="693"/>
      <c r="T79" s="917"/>
      <c r="U79" s="698"/>
      <c r="V79" s="918">
        <f>+(V80*W80)+(V92*W92)+(V97*W97)</f>
        <v>0.31239071038251365</v>
      </c>
      <c r="W79" s="646">
        <v>0.4</v>
      </c>
      <c r="X79" s="657">
        <v>0.4</v>
      </c>
      <c r="Y79" s="642">
        <f>+Y80+Y92+Y97</f>
        <v>2842000000</v>
      </c>
      <c r="Z79" s="642">
        <f>+Z80+Z92+Z97</f>
        <v>213135000</v>
      </c>
      <c r="AA79" s="642">
        <f>+AA80+AA92+AA97</f>
        <v>2513740137</v>
      </c>
      <c r="AB79" s="643">
        <f t="shared" si="55"/>
        <v>0.88449688142153415</v>
      </c>
      <c r="AC79" s="642">
        <f>+AC80+AC92+AC97</f>
        <v>1959280320</v>
      </c>
      <c r="AD79" s="644">
        <f t="shared" si="56"/>
        <v>0.68940194229415908</v>
      </c>
      <c r="AE79" s="629">
        <f>+AE80+AE92+AE97</f>
        <v>554459817</v>
      </c>
      <c r="AF79" s="637">
        <f>+AF80+AF92+AF97</f>
        <v>110935000</v>
      </c>
      <c r="AG79" s="642">
        <f>+AG80+AG92+AG97</f>
        <v>110935000</v>
      </c>
      <c r="AH79" s="699">
        <f t="shared" si="57"/>
        <v>1</v>
      </c>
      <c r="AI79" s="642">
        <f t="shared" ref="AI79:AJ79" si="65">+AI80+AI92+AI97</f>
        <v>11367160427</v>
      </c>
      <c r="AJ79" s="642">
        <f t="shared" si="65"/>
        <v>2726875137</v>
      </c>
      <c r="AK79" s="646">
        <f t="shared" si="61"/>
        <v>0.23989061775911541</v>
      </c>
      <c r="AL79" s="636"/>
      <c r="AM79" s="636" t="s">
        <v>294</v>
      </c>
      <c r="AN79" s="637"/>
      <c r="AO79" s="629"/>
      <c r="AP79" s="691"/>
      <c r="AQ79" s="691"/>
    </row>
    <row r="80" spans="1:43" ht="13.5" thickBot="1" x14ac:dyDescent="0.3">
      <c r="A80" s="742" t="s">
        <v>465</v>
      </c>
      <c r="B80" s="743"/>
      <c r="C80" s="744"/>
      <c r="D80" s="745"/>
      <c r="E80" s="746"/>
      <c r="F80" s="744"/>
      <c r="G80" s="744"/>
      <c r="H80" s="747">
        <f>+(H81*31%)+(H83*30%)+(H88*24%)+(H90*15%)</f>
        <v>0.43</v>
      </c>
      <c r="I80" s="747">
        <f>+SUMPRODUCT(I81:I91,X81:X91)</f>
        <v>0.52</v>
      </c>
      <c r="J80" s="750"/>
      <c r="K80" s="743"/>
      <c r="L80" s="749"/>
      <c r="M80" s="750"/>
      <c r="N80" s="750"/>
      <c r="O80" s="749"/>
      <c r="P80" s="749"/>
      <c r="Q80" s="749"/>
      <c r="R80" s="752"/>
      <c r="S80" s="749"/>
      <c r="T80" s="826"/>
      <c r="U80" s="754"/>
      <c r="V80" s="755">
        <f>+SUMPRODUCT(V81:V91,W81:W91)</f>
        <v>0.20833333333333334</v>
      </c>
      <c r="W80" s="747">
        <v>0.7</v>
      </c>
      <c r="X80" s="756">
        <v>0.7</v>
      </c>
      <c r="Y80" s="757">
        <f>SUM(Y81:Y91)</f>
        <v>2012000000</v>
      </c>
      <c r="Z80" s="757">
        <f>SUM(Z81:Z91)</f>
        <v>124485000</v>
      </c>
      <c r="AA80" s="757">
        <f>SUM(AA81:AA91)</f>
        <v>1702980006</v>
      </c>
      <c r="AB80" s="758">
        <f t="shared" si="55"/>
        <v>0.84641153379721668</v>
      </c>
      <c r="AC80" s="757">
        <f>SUM(AC81:AC91)</f>
        <v>1488878058</v>
      </c>
      <c r="AD80" s="748">
        <f t="shared" si="56"/>
        <v>0.73999903479125251</v>
      </c>
      <c r="AE80" s="928">
        <f>SUM(AE81:AE91)</f>
        <v>214101948</v>
      </c>
      <c r="AF80" s="750">
        <f>SUM(AF81:AF91)</f>
        <v>92985000</v>
      </c>
      <c r="AG80" s="757">
        <f>SUM(AG81:AG91)</f>
        <v>92985000</v>
      </c>
      <c r="AH80" s="760">
        <f t="shared" si="57"/>
        <v>1</v>
      </c>
      <c r="AI80" s="757">
        <f t="shared" ref="AI80:AJ80" si="66">SUM(AI81:AI91)</f>
        <v>9407160427</v>
      </c>
      <c r="AJ80" s="757">
        <f t="shared" si="66"/>
        <v>1827465006</v>
      </c>
      <c r="AK80" s="747">
        <f t="shared" si="61"/>
        <v>0.19426319134038511</v>
      </c>
      <c r="AL80" s="761"/>
      <c r="AM80" s="761"/>
      <c r="AN80" s="210"/>
      <c r="AO80" s="928"/>
      <c r="AP80" s="213"/>
      <c r="AQ80" s="213"/>
    </row>
    <row r="81" spans="1:43" ht="140.25" x14ac:dyDescent="0.25">
      <c r="A81" s="911" t="s">
        <v>565</v>
      </c>
      <c r="B81" s="912" t="s">
        <v>757</v>
      </c>
      <c r="C81" s="369">
        <v>1</v>
      </c>
      <c r="D81" s="303">
        <v>2</v>
      </c>
      <c r="E81" s="1636">
        <v>0</v>
      </c>
      <c r="F81" s="992">
        <v>0</v>
      </c>
      <c r="G81" s="992">
        <v>1</v>
      </c>
      <c r="H81" s="1592">
        <f t="shared" ref="H81:H91" si="67">IF((E81+G81)/C81&gt;=100%,100%,(E81+G81)/C81)</f>
        <v>1</v>
      </c>
      <c r="I81" s="1637">
        <f t="shared" ref="I81:I91" si="68">IF(F81/D81&gt;=100%,100%,F81/D81)</f>
        <v>0</v>
      </c>
      <c r="J81" s="1667" t="s">
        <v>1520</v>
      </c>
      <c r="K81" s="1587"/>
      <c r="L81" s="1588"/>
      <c r="M81" s="1589"/>
      <c r="N81" s="1587"/>
      <c r="O81" s="1590"/>
      <c r="P81" s="1590"/>
      <c r="Q81" s="1590"/>
      <c r="R81" s="1591"/>
      <c r="S81" s="1590"/>
      <c r="T81" s="993">
        <v>3</v>
      </c>
      <c r="U81" s="993">
        <f>SUM(E81:G81)</f>
        <v>1</v>
      </c>
      <c r="V81" s="1594">
        <f>IF(U81/T81&gt;=100%,100%,U81/T81)</f>
        <v>0.33333333333333331</v>
      </c>
      <c r="W81" s="399">
        <v>0.1</v>
      </c>
      <c r="X81" s="1651">
        <v>0.2</v>
      </c>
      <c r="Y81" s="462">
        <v>550000000</v>
      </c>
      <c r="Z81" s="275">
        <v>80985000</v>
      </c>
      <c r="AA81" s="275">
        <v>541127629</v>
      </c>
      <c r="AB81" s="1596">
        <f t="shared" si="55"/>
        <v>0.98386841636363631</v>
      </c>
      <c r="AC81" s="275">
        <v>533734832</v>
      </c>
      <c r="AD81" s="1597">
        <f t="shared" si="56"/>
        <v>0.97042696727272726</v>
      </c>
      <c r="AE81" s="1598">
        <f>+AA81-AC81</f>
        <v>7392797</v>
      </c>
      <c r="AF81" s="1522">
        <v>49485000</v>
      </c>
      <c r="AG81" s="275">
        <v>49485000</v>
      </c>
      <c r="AH81" s="1097">
        <f t="shared" si="57"/>
        <v>1</v>
      </c>
      <c r="AI81" s="1599">
        <v>960000000</v>
      </c>
      <c r="AJ81" s="1599">
        <f>+SUM(Z81:AA81)</f>
        <v>622112629</v>
      </c>
      <c r="AK81" s="1597">
        <f t="shared" si="61"/>
        <v>0.64803398854166672</v>
      </c>
      <c r="AL81" s="1600"/>
      <c r="AM81" s="1600"/>
      <c r="AN81" s="602" t="s">
        <v>14</v>
      </c>
      <c r="AO81" s="1318" t="s">
        <v>906</v>
      </c>
      <c r="AP81" s="595"/>
      <c r="AQ81" s="595"/>
    </row>
    <row r="82" spans="1:43" ht="102" x14ac:dyDescent="0.25">
      <c r="A82" s="251" t="s">
        <v>566</v>
      </c>
      <c r="B82" s="342" t="s">
        <v>758</v>
      </c>
      <c r="C82" s="369">
        <v>0</v>
      </c>
      <c r="D82" s="303">
        <v>0</v>
      </c>
      <c r="E82" s="1582">
        <v>0</v>
      </c>
      <c r="F82" s="558">
        <v>0</v>
      </c>
      <c r="G82" s="558"/>
      <c r="H82" s="598" t="e">
        <f t="shared" si="67"/>
        <v>#DIV/0!</v>
      </c>
      <c r="I82" s="1087">
        <v>0</v>
      </c>
      <c r="J82" s="601"/>
      <c r="K82" s="1085"/>
      <c r="L82" s="1583"/>
      <c r="M82" s="1584"/>
      <c r="N82" s="1085"/>
      <c r="O82" s="1089"/>
      <c r="P82" s="1089"/>
      <c r="Q82" s="1089"/>
      <c r="R82" s="1091"/>
      <c r="S82" s="1089"/>
      <c r="T82" s="599">
        <v>3</v>
      </c>
      <c r="U82" s="599">
        <f t="shared" ref="U82:U91" si="69">SUM(E82:G82)</f>
        <v>0</v>
      </c>
      <c r="V82" s="1594">
        <f t="shared" ref="V82:V84" si="70">IF(U82/T82&gt;=100%,100%,U82/T82)</f>
        <v>0</v>
      </c>
      <c r="W82" s="404">
        <v>0.13</v>
      </c>
      <c r="X82" s="1093">
        <v>0</v>
      </c>
      <c r="Y82" s="463">
        <v>0</v>
      </c>
      <c r="Z82" s="274">
        <v>0</v>
      </c>
      <c r="AA82" s="274">
        <v>0</v>
      </c>
      <c r="AB82" s="1095" t="e">
        <f t="shared" si="55"/>
        <v>#DIV/0!</v>
      </c>
      <c r="AC82" s="274">
        <v>0</v>
      </c>
      <c r="AD82" s="599" t="e">
        <f t="shared" si="56"/>
        <v>#DIV/0!</v>
      </c>
      <c r="AE82" s="1601"/>
      <c r="AF82" s="1520">
        <v>0</v>
      </c>
      <c r="AG82" s="274">
        <v>0</v>
      </c>
      <c r="AH82" s="1097" t="e">
        <f t="shared" si="57"/>
        <v>#DIV/0!</v>
      </c>
      <c r="AI82" s="1603">
        <v>1200000000</v>
      </c>
      <c r="AJ82" s="1603">
        <f t="shared" ref="AJ82:AJ91" si="71">+SUM(Z82:AA82)</f>
        <v>0</v>
      </c>
      <c r="AK82" s="598">
        <f t="shared" si="61"/>
        <v>0</v>
      </c>
      <c r="AL82" s="1604"/>
      <c r="AM82" s="1604"/>
      <c r="AN82" s="601" t="s">
        <v>14</v>
      </c>
      <c r="AO82" s="1766" t="s">
        <v>906</v>
      </c>
      <c r="AP82" s="98"/>
      <c r="AQ82" s="98"/>
    </row>
    <row r="83" spans="1:43" ht="102.75" thickBot="1" x14ac:dyDescent="0.3">
      <c r="A83" s="251" t="s">
        <v>567</v>
      </c>
      <c r="B83" s="342" t="s">
        <v>759</v>
      </c>
      <c r="C83" s="369">
        <v>0.1</v>
      </c>
      <c r="D83" s="303">
        <v>0.1</v>
      </c>
      <c r="E83" s="1582">
        <v>0</v>
      </c>
      <c r="F83" s="558">
        <v>0</v>
      </c>
      <c r="G83" s="558"/>
      <c r="H83" s="598">
        <f t="shared" si="67"/>
        <v>0</v>
      </c>
      <c r="I83" s="1087">
        <v>0</v>
      </c>
      <c r="J83" s="601" t="s">
        <v>1519</v>
      </c>
      <c r="K83" s="1085"/>
      <c r="L83" s="1583"/>
      <c r="M83" s="1584"/>
      <c r="N83" s="1085"/>
      <c r="O83" s="1089"/>
      <c r="P83" s="1089"/>
      <c r="Q83" s="1089"/>
      <c r="R83" s="1091"/>
      <c r="S83" s="1089"/>
      <c r="T83" s="599">
        <v>200</v>
      </c>
      <c r="U83" s="599">
        <f t="shared" si="69"/>
        <v>0</v>
      </c>
      <c r="V83" s="1594">
        <f t="shared" si="70"/>
        <v>0</v>
      </c>
      <c r="W83" s="404">
        <v>0.1</v>
      </c>
      <c r="X83" s="1093">
        <v>0.18</v>
      </c>
      <c r="Y83" s="1668">
        <v>92000000</v>
      </c>
      <c r="Z83" s="1669">
        <v>43500000</v>
      </c>
      <c r="AA83" s="274">
        <v>57995812</v>
      </c>
      <c r="AB83" s="1095">
        <f t="shared" si="55"/>
        <v>0.63038926086956526</v>
      </c>
      <c r="AC83" s="1668">
        <v>36224932</v>
      </c>
      <c r="AD83" s="598">
        <f t="shared" si="56"/>
        <v>0.39374926086956524</v>
      </c>
      <c r="AE83" s="1601">
        <f>+AA83-AC83</f>
        <v>21770880</v>
      </c>
      <c r="AF83" s="1520">
        <v>43500000</v>
      </c>
      <c r="AG83" s="274">
        <v>43500000</v>
      </c>
      <c r="AH83" s="1097">
        <f t="shared" si="57"/>
        <v>1</v>
      </c>
      <c r="AI83" s="1602">
        <v>1047160427</v>
      </c>
      <c r="AJ83" s="1603">
        <f t="shared" si="71"/>
        <v>101495812</v>
      </c>
      <c r="AK83" s="598">
        <f t="shared" si="61"/>
        <v>9.6924797178188249E-2</v>
      </c>
      <c r="AL83" s="1604"/>
      <c r="AM83" s="1604"/>
      <c r="AN83" s="601" t="s">
        <v>18</v>
      </c>
      <c r="AO83" s="1766" t="s">
        <v>906</v>
      </c>
      <c r="AP83" s="98"/>
      <c r="AQ83" s="98"/>
    </row>
    <row r="84" spans="1:43" ht="102" x14ac:dyDescent="0.25">
      <c r="A84" s="251" t="s">
        <v>568</v>
      </c>
      <c r="B84" s="343" t="s">
        <v>755</v>
      </c>
      <c r="C84" s="369">
        <v>0</v>
      </c>
      <c r="D84" s="303">
        <v>0</v>
      </c>
      <c r="E84" s="1582">
        <v>0</v>
      </c>
      <c r="F84" s="558">
        <v>0</v>
      </c>
      <c r="G84" s="558"/>
      <c r="H84" s="598" t="e">
        <f t="shared" si="67"/>
        <v>#DIV/0!</v>
      </c>
      <c r="I84" s="1087">
        <v>0</v>
      </c>
      <c r="J84" s="601"/>
      <c r="K84" s="1085"/>
      <c r="L84" s="1583"/>
      <c r="M84" s="1584"/>
      <c r="N84" s="1085"/>
      <c r="O84" s="1089"/>
      <c r="P84" s="1089"/>
      <c r="Q84" s="1089"/>
      <c r="R84" s="1091"/>
      <c r="S84" s="1089"/>
      <c r="T84" s="599">
        <v>100</v>
      </c>
      <c r="U84" s="599">
        <f t="shared" si="69"/>
        <v>0</v>
      </c>
      <c r="V84" s="1594">
        <f t="shared" si="70"/>
        <v>0</v>
      </c>
      <c r="W84" s="404">
        <v>0.18</v>
      </c>
      <c r="X84" s="1093">
        <v>0</v>
      </c>
      <c r="Y84" s="463">
        <v>0</v>
      </c>
      <c r="Z84" s="274">
        <v>0</v>
      </c>
      <c r="AA84" s="274">
        <v>0</v>
      </c>
      <c r="AB84" s="1095" t="e">
        <f t="shared" si="55"/>
        <v>#DIV/0!</v>
      </c>
      <c r="AC84" s="274">
        <v>0</v>
      </c>
      <c r="AD84" s="599" t="e">
        <f t="shared" si="56"/>
        <v>#DIV/0!</v>
      </c>
      <c r="AE84" s="1601"/>
      <c r="AF84" s="1520">
        <v>0</v>
      </c>
      <c r="AG84" s="274">
        <v>0</v>
      </c>
      <c r="AH84" s="1097" t="e">
        <f t="shared" si="57"/>
        <v>#DIV/0!</v>
      </c>
      <c r="AI84" s="1603">
        <v>1700000000</v>
      </c>
      <c r="AJ84" s="1603">
        <f t="shared" si="71"/>
        <v>0</v>
      </c>
      <c r="AK84" s="598">
        <f t="shared" si="61"/>
        <v>0</v>
      </c>
      <c r="AL84" s="1604"/>
      <c r="AM84" s="1604"/>
      <c r="AN84" s="601" t="s">
        <v>302</v>
      </c>
      <c r="AO84" s="1766" t="s">
        <v>911</v>
      </c>
      <c r="AP84" s="98"/>
      <c r="AQ84" s="98"/>
    </row>
    <row r="85" spans="1:43" ht="102" x14ac:dyDescent="0.25">
      <c r="A85" s="251" t="s">
        <v>569</v>
      </c>
      <c r="B85" s="342" t="s">
        <v>760</v>
      </c>
      <c r="C85" s="369">
        <v>0</v>
      </c>
      <c r="D85" s="303">
        <v>0</v>
      </c>
      <c r="E85" s="1582">
        <v>0</v>
      </c>
      <c r="F85" s="558">
        <v>0</v>
      </c>
      <c r="G85" s="558"/>
      <c r="H85" s="598" t="e">
        <f t="shared" si="67"/>
        <v>#DIV/0!</v>
      </c>
      <c r="I85" s="1087">
        <v>0</v>
      </c>
      <c r="J85" s="601"/>
      <c r="K85" s="1085"/>
      <c r="L85" s="1583"/>
      <c r="M85" s="1584"/>
      <c r="N85" s="1085"/>
      <c r="O85" s="1089"/>
      <c r="P85" s="1089"/>
      <c r="Q85" s="1089"/>
      <c r="R85" s="1091"/>
      <c r="S85" s="1089"/>
      <c r="T85" s="599">
        <v>1500</v>
      </c>
      <c r="U85" s="599">
        <f t="shared" si="69"/>
        <v>0</v>
      </c>
      <c r="V85" s="1594">
        <f>IF(U85/T85&gt;=100%,100%,U85/T85)</f>
        <v>0</v>
      </c>
      <c r="W85" s="404">
        <v>0.1</v>
      </c>
      <c r="X85" s="1093">
        <v>0</v>
      </c>
      <c r="Y85" s="463">
        <v>0</v>
      </c>
      <c r="Z85" s="274">
        <v>0</v>
      </c>
      <c r="AA85" s="274">
        <v>0</v>
      </c>
      <c r="AB85" s="1095" t="e">
        <f t="shared" si="55"/>
        <v>#DIV/0!</v>
      </c>
      <c r="AC85" s="274">
        <v>0</v>
      </c>
      <c r="AD85" s="599" t="e">
        <f t="shared" si="56"/>
        <v>#DIV/0!</v>
      </c>
      <c r="AE85" s="1601"/>
      <c r="AF85" s="1520">
        <v>0</v>
      </c>
      <c r="AG85" s="274">
        <v>0</v>
      </c>
      <c r="AH85" s="1097" t="e">
        <f t="shared" si="57"/>
        <v>#DIV/0!</v>
      </c>
      <c r="AI85" s="1602">
        <v>800000000</v>
      </c>
      <c r="AJ85" s="1603">
        <f t="shared" si="71"/>
        <v>0</v>
      </c>
      <c r="AK85" s="598">
        <f t="shared" si="61"/>
        <v>0</v>
      </c>
      <c r="AL85" s="1604"/>
      <c r="AM85" s="1604"/>
      <c r="AN85" s="601" t="s">
        <v>11</v>
      </c>
      <c r="AO85" s="1766" t="s">
        <v>911</v>
      </c>
      <c r="AP85" s="98"/>
      <c r="AQ85" s="98"/>
    </row>
    <row r="86" spans="1:43" ht="51" x14ac:dyDescent="0.25">
      <c r="A86" s="251" t="s">
        <v>570</v>
      </c>
      <c r="B86" s="342" t="s">
        <v>761</v>
      </c>
      <c r="C86" s="369">
        <v>0</v>
      </c>
      <c r="D86" s="303">
        <v>0</v>
      </c>
      <c r="E86" s="1582">
        <v>0</v>
      </c>
      <c r="F86" s="558">
        <v>0</v>
      </c>
      <c r="G86" s="558"/>
      <c r="H86" s="598" t="e">
        <f t="shared" si="67"/>
        <v>#DIV/0!</v>
      </c>
      <c r="I86" s="1087">
        <v>0</v>
      </c>
      <c r="J86" s="601"/>
      <c r="K86" s="1085"/>
      <c r="L86" s="1583"/>
      <c r="M86" s="1584"/>
      <c r="N86" s="1085"/>
      <c r="O86" s="1089"/>
      <c r="P86" s="1089"/>
      <c r="Q86" s="1089"/>
      <c r="R86" s="1091"/>
      <c r="S86" s="1089"/>
      <c r="T86" s="599">
        <v>4</v>
      </c>
      <c r="U86" s="599">
        <f t="shared" si="69"/>
        <v>0</v>
      </c>
      <c r="V86" s="1594">
        <f t="shared" ref="V86:V87" si="72">IF(U86/T86&gt;=100%,100%,U86/T86)</f>
        <v>0</v>
      </c>
      <c r="W86" s="404">
        <v>0.08</v>
      </c>
      <c r="X86" s="1093">
        <v>0</v>
      </c>
      <c r="Y86" s="463">
        <v>0</v>
      </c>
      <c r="Z86" s="274">
        <v>0</v>
      </c>
      <c r="AA86" s="274">
        <v>0</v>
      </c>
      <c r="AB86" s="1095" t="e">
        <f t="shared" si="55"/>
        <v>#DIV/0!</v>
      </c>
      <c r="AC86" s="274">
        <v>0</v>
      </c>
      <c r="AD86" s="599" t="e">
        <f t="shared" si="56"/>
        <v>#DIV/0!</v>
      </c>
      <c r="AE86" s="1601"/>
      <c r="AF86" s="1520">
        <v>0</v>
      </c>
      <c r="AG86" s="274">
        <v>0</v>
      </c>
      <c r="AH86" s="1097" t="e">
        <f t="shared" si="57"/>
        <v>#DIV/0!</v>
      </c>
      <c r="AI86" s="1602">
        <v>800000000</v>
      </c>
      <c r="AJ86" s="1603">
        <f t="shared" si="71"/>
        <v>0</v>
      </c>
      <c r="AK86" s="598">
        <f t="shared" si="61"/>
        <v>0</v>
      </c>
      <c r="AL86" s="1604"/>
      <c r="AM86" s="1604"/>
      <c r="AN86" s="601" t="s">
        <v>14</v>
      </c>
      <c r="AO86" s="1927" t="s">
        <v>906</v>
      </c>
      <c r="AP86" s="98"/>
      <c r="AQ86" s="98"/>
    </row>
    <row r="87" spans="1:43" ht="63.75" x14ac:dyDescent="0.25">
      <c r="A87" s="251" t="s">
        <v>571</v>
      </c>
      <c r="B87" s="342" t="s">
        <v>762</v>
      </c>
      <c r="C87" s="369">
        <v>0</v>
      </c>
      <c r="D87" s="303">
        <v>2</v>
      </c>
      <c r="E87" s="1582">
        <v>0</v>
      </c>
      <c r="F87" s="558">
        <v>2</v>
      </c>
      <c r="G87" s="558"/>
      <c r="H87" s="598" t="e">
        <f t="shared" si="67"/>
        <v>#DIV/0!</v>
      </c>
      <c r="I87" s="1087">
        <f t="shared" si="68"/>
        <v>1</v>
      </c>
      <c r="J87" s="601" t="s">
        <v>960</v>
      </c>
      <c r="K87" s="1085"/>
      <c r="L87" s="1583"/>
      <c r="M87" s="1584"/>
      <c r="N87" s="1085"/>
      <c r="O87" s="1089"/>
      <c r="P87" s="1089"/>
      <c r="Q87" s="1089"/>
      <c r="R87" s="1091"/>
      <c r="S87" s="1089"/>
      <c r="T87" s="599">
        <v>4</v>
      </c>
      <c r="U87" s="599">
        <f t="shared" si="69"/>
        <v>2</v>
      </c>
      <c r="V87" s="1594">
        <f t="shared" si="72"/>
        <v>0.5</v>
      </c>
      <c r="W87" s="404">
        <v>0.08</v>
      </c>
      <c r="X87" s="1093">
        <v>0.16</v>
      </c>
      <c r="Y87" s="462">
        <v>300000000</v>
      </c>
      <c r="Z87" s="274">
        <v>0</v>
      </c>
      <c r="AA87" s="274">
        <v>295651488</v>
      </c>
      <c r="AB87" s="1095">
        <f t="shared" si="55"/>
        <v>0.98550495999999999</v>
      </c>
      <c r="AC87" s="274">
        <v>163351145</v>
      </c>
      <c r="AD87" s="1096">
        <f t="shared" si="56"/>
        <v>0.5445038166666667</v>
      </c>
      <c r="AE87" s="1601">
        <f>+AA87-AC87</f>
        <v>132300343</v>
      </c>
      <c r="AF87" s="1520">
        <v>0</v>
      </c>
      <c r="AG87" s="274">
        <v>0</v>
      </c>
      <c r="AH87" s="1097" t="e">
        <f t="shared" si="57"/>
        <v>#DIV/0!</v>
      </c>
      <c r="AI87" s="1603">
        <v>800000000</v>
      </c>
      <c r="AJ87" s="1603">
        <f>+SUM(Z87:AA87)</f>
        <v>295651488</v>
      </c>
      <c r="AK87" s="598">
        <f t="shared" si="61"/>
        <v>0.36956435999999998</v>
      </c>
      <c r="AL87" s="1604"/>
      <c r="AM87" s="1604"/>
      <c r="AN87" s="601" t="s">
        <v>14</v>
      </c>
      <c r="AO87" s="1928"/>
      <c r="AP87" s="98"/>
      <c r="AQ87" s="98"/>
    </row>
    <row r="88" spans="1:43" ht="89.25" x14ac:dyDescent="0.25">
      <c r="A88" s="251" t="s">
        <v>1106</v>
      </c>
      <c r="B88" s="342" t="s">
        <v>763</v>
      </c>
      <c r="C88" s="369">
        <v>2</v>
      </c>
      <c r="D88" s="303">
        <v>2</v>
      </c>
      <c r="E88" s="1582">
        <v>1</v>
      </c>
      <c r="F88" s="558">
        <v>2</v>
      </c>
      <c r="G88" s="558">
        <v>0</v>
      </c>
      <c r="H88" s="598">
        <f t="shared" si="67"/>
        <v>0.5</v>
      </c>
      <c r="I88" s="1087">
        <f t="shared" si="68"/>
        <v>1</v>
      </c>
      <c r="J88" s="601" t="s">
        <v>1129</v>
      </c>
      <c r="K88" s="1085"/>
      <c r="L88" s="1583"/>
      <c r="M88" s="1584"/>
      <c r="N88" s="1085"/>
      <c r="O88" s="1089"/>
      <c r="P88" s="1089"/>
      <c r="Q88" s="1089"/>
      <c r="R88" s="1091"/>
      <c r="S88" s="1089"/>
      <c r="T88" s="599">
        <v>4</v>
      </c>
      <c r="U88" s="599">
        <f t="shared" si="69"/>
        <v>3</v>
      </c>
      <c r="V88" s="1594">
        <f>IF(U88/T88&gt;=100%,100%,U88/T88)</f>
        <v>0.75</v>
      </c>
      <c r="W88" s="404">
        <v>0.08</v>
      </c>
      <c r="X88" s="1093">
        <v>0.16</v>
      </c>
      <c r="Y88" s="462">
        <v>350000000</v>
      </c>
      <c r="Z88" s="274">
        <v>0</v>
      </c>
      <c r="AA88" s="274">
        <v>345340879</v>
      </c>
      <c r="AB88" s="1095">
        <f t="shared" si="55"/>
        <v>0.98668822571428572</v>
      </c>
      <c r="AC88" s="274">
        <v>313958452</v>
      </c>
      <c r="AD88" s="1096">
        <f t="shared" si="56"/>
        <v>0.89702414857142854</v>
      </c>
      <c r="AE88" s="1601">
        <f>+AA88-AC88</f>
        <v>31382427</v>
      </c>
      <c r="AF88" s="1520">
        <v>0</v>
      </c>
      <c r="AG88" s="274">
        <v>0</v>
      </c>
      <c r="AH88" s="1097" t="e">
        <f t="shared" si="57"/>
        <v>#DIV/0!</v>
      </c>
      <c r="AI88" s="1603">
        <v>800000000</v>
      </c>
      <c r="AJ88" s="1603">
        <f t="shared" si="71"/>
        <v>345340879</v>
      </c>
      <c r="AK88" s="598">
        <f t="shared" si="61"/>
        <v>0.43167609875000001</v>
      </c>
      <c r="AL88" s="1604"/>
      <c r="AM88" s="1604"/>
      <c r="AN88" s="601" t="s">
        <v>14</v>
      </c>
      <c r="AO88" s="1766" t="s">
        <v>896</v>
      </c>
      <c r="AP88" s="98"/>
      <c r="AQ88" s="98"/>
    </row>
    <row r="89" spans="1:43" ht="127.5" x14ac:dyDescent="0.25">
      <c r="A89" s="251" t="s">
        <v>572</v>
      </c>
      <c r="B89" s="342" t="s">
        <v>764</v>
      </c>
      <c r="C89" s="369">
        <v>0</v>
      </c>
      <c r="D89" s="303">
        <v>2</v>
      </c>
      <c r="E89" s="1582">
        <v>0</v>
      </c>
      <c r="F89" s="558">
        <v>2</v>
      </c>
      <c r="G89" s="558"/>
      <c r="H89" s="598" t="e">
        <f t="shared" si="67"/>
        <v>#DIV/0!</v>
      </c>
      <c r="I89" s="1087">
        <f t="shared" si="68"/>
        <v>1</v>
      </c>
      <c r="J89" s="601" t="s">
        <v>961</v>
      </c>
      <c r="K89" s="1085"/>
      <c r="L89" s="1583"/>
      <c r="M89" s="1584"/>
      <c r="N89" s="1085"/>
      <c r="O89" s="1089"/>
      <c r="P89" s="1089"/>
      <c r="Q89" s="1089"/>
      <c r="R89" s="1091"/>
      <c r="S89" s="1089"/>
      <c r="T89" s="599">
        <v>2</v>
      </c>
      <c r="U89" s="599">
        <f t="shared" si="69"/>
        <v>2</v>
      </c>
      <c r="V89" s="1594">
        <f t="shared" ref="V89:V91" si="73">IF(U89/T89&gt;=100%,100%,U89/T89)</f>
        <v>1</v>
      </c>
      <c r="W89" s="404">
        <v>0.05</v>
      </c>
      <c r="X89" s="1093">
        <v>0.1</v>
      </c>
      <c r="Y89" s="462">
        <v>300000000</v>
      </c>
      <c r="Z89" s="274">
        <v>0</v>
      </c>
      <c r="AA89" s="274">
        <v>247208620</v>
      </c>
      <c r="AB89" s="1095">
        <f t="shared" si="55"/>
        <v>0.82402873333333337</v>
      </c>
      <c r="AC89" s="274">
        <v>238066644</v>
      </c>
      <c r="AD89" s="1096">
        <f t="shared" si="56"/>
        <v>0.79355547999999998</v>
      </c>
      <c r="AE89" s="1601">
        <f>+AA89-AC89</f>
        <v>9141976</v>
      </c>
      <c r="AF89" s="1520">
        <v>0</v>
      </c>
      <c r="AG89" s="274">
        <v>0</v>
      </c>
      <c r="AH89" s="1097" t="e">
        <f t="shared" si="57"/>
        <v>#DIV/0!</v>
      </c>
      <c r="AI89" s="1603">
        <v>400000000</v>
      </c>
      <c r="AJ89" s="1603">
        <f t="shared" si="71"/>
        <v>247208620</v>
      </c>
      <c r="AK89" s="1096">
        <f t="shared" si="61"/>
        <v>0.61802155000000003</v>
      </c>
      <c r="AL89" s="1604"/>
      <c r="AM89" s="1604"/>
      <c r="AN89" s="601" t="s">
        <v>14</v>
      </c>
      <c r="AO89" s="1766" t="s">
        <v>909</v>
      </c>
      <c r="AP89" s="98"/>
      <c r="AQ89" s="98"/>
    </row>
    <row r="90" spans="1:43" ht="51.75" thickBot="1" x14ac:dyDescent="0.3">
      <c r="A90" s="251" t="s">
        <v>573</v>
      </c>
      <c r="B90" s="342" t="s">
        <v>765</v>
      </c>
      <c r="C90" s="369">
        <v>1</v>
      </c>
      <c r="D90" s="303">
        <v>1</v>
      </c>
      <c r="E90" s="1582">
        <v>0</v>
      </c>
      <c r="F90" s="558">
        <v>0</v>
      </c>
      <c r="G90" s="558">
        <v>0</v>
      </c>
      <c r="H90" s="598">
        <f t="shared" si="67"/>
        <v>0</v>
      </c>
      <c r="I90" s="1087">
        <f t="shared" si="68"/>
        <v>0</v>
      </c>
      <c r="J90" s="601" t="s">
        <v>962</v>
      </c>
      <c r="K90" s="1085"/>
      <c r="L90" s="1583"/>
      <c r="M90" s="1584"/>
      <c r="N90" s="1085"/>
      <c r="O90" s="1089"/>
      <c r="P90" s="1089"/>
      <c r="Q90" s="1089"/>
      <c r="R90" s="1091"/>
      <c r="S90" s="1089"/>
      <c r="T90" s="599">
        <v>2</v>
      </c>
      <c r="U90" s="599">
        <f t="shared" si="69"/>
        <v>0</v>
      </c>
      <c r="V90" s="1594">
        <f t="shared" si="73"/>
        <v>0</v>
      </c>
      <c r="W90" s="404">
        <v>0.05</v>
      </c>
      <c r="X90" s="1093">
        <v>0.1</v>
      </c>
      <c r="Y90" s="462">
        <v>220000000</v>
      </c>
      <c r="Z90" s="274">
        <v>0</v>
      </c>
      <c r="AA90" s="274">
        <v>18451051</v>
      </c>
      <c r="AB90" s="1095">
        <f t="shared" si="55"/>
        <v>8.3868413636363631E-2</v>
      </c>
      <c r="AC90" s="274">
        <v>11676317</v>
      </c>
      <c r="AD90" s="598">
        <f t="shared" si="56"/>
        <v>5.3074168181818183E-2</v>
      </c>
      <c r="AE90" s="1601">
        <f>+AA90-AC90</f>
        <v>6774734</v>
      </c>
      <c r="AF90" s="1520">
        <v>0</v>
      </c>
      <c r="AG90" s="274">
        <v>0</v>
      </c>
      <c r="AH90" s="1097" t="e">
        <f t="shared" si="57"/>
        <v>#DIV/0!</v>
      </c>
      <c r="AI90" s="1603">
        <v>500000000</v>
      </c>
      <c r="AJ90" s="1603">
        <f>+SUM(Z90:AA90)</f>
        <v>18451051</v>
      </c>
      <c r="AK90" s="598">
        <f t="shared" si="61"/>
        <v>3.6902101999999999E-2</v>
      </c>
      <c r="AL90" s="1604"/>
      <c r="AM90" s="1604"/>
      <c r="AN90" s="601" t="s">
        <v>14</v>
      </c>
      <c r="AO90" s="1932" t="s">
        <v>909</v>
      </c>
      <c r="AP90" s="98"/>
      <c r="AQ90" s="98"/>
    </row>
    <row r="91" spans="1:43" ht="77.25" thickBot="1" x14ac:dyDescent="0.3">
      <c r="A91" s="907" t="s">
        <v>574</v>
      </c>
      <c r="B91" s="1106" t="s">
        <v>756</v>
      </c>
      <c r="C91" s="370">
        <v>0</v>
      </c>
      <c r="D91" s="304">
        <v>2</v>
      </c>
      <c r="E91" s="1638">
        <v>0</v>
      </c>
      <c r="F91" s="908">
        <v>2</v>
      </c>
      <c r="G91" s="908"/>
      <c r="H91" s="894" t="e">
        <f t="shared" si="67"/>
        <v>#DIV/0!</v>
      </c>
      <c r="I91" s="1639">
        <f t="shared" si="68"/>
        <v>1</v>
      </c>
      <c r="J91" s="603" t="s">
        <v>1132</v>
      </c>
      <c r="K91" s="1640"/>
      <c r="L91" s="1641"/>
      <c r="M91" s="1642"/>
      <c r="N91" s="1640"/>
      <c r="O91" s="1098"/>
      <c r="P91" s="1098"/>
      <c r="Q91" s="1098"/>
      <c r="R91" s="1643"/>
      <c r="S91" s="1098"/>
      <c r="T91" s="935">
        <v>4</v>
      </c>
      <c r="U91" s="935">
        <f t="shared" si="69"/>
        <v>2</v>
      </c>
      <c r="V91" s="1608">
        <f t="shared" si="73"/>
        <v>0.5</v>
      </c>
      <c r="W91" s="903">
        <v>0.05</v>
      </c>
      <c r="X91" s="1655">
        <v>0.1</v>
      </c>
      <c r="Y91" s="909">
        <v>200000000</v>
      </c>
      <c r="Z91" s="906">
        <v>0</v>
      </c>
      <c r="AA91" s="906">
        <v>197204527</v>
      </c>
      <c r="AB91" s="1610">
        <f t="shared" si="55"/>
        <v>0.98602263499999998</v>
      </c>
      <c r="AC91" s="906">
        <v>191865736</v>
      </c>
      <c r="AD91" s="1104">
        <f t="shared" si="56"/>
        <v>0.95932868000000004</v>
      </c>
      <c r="AE91" s="1611">
        <f>+AA91-AC91</f>
        <v>5338791</v>
      </c>
      <c r="AF91" s="1521">
        <v>0</v>
      </c>
      <c r="AG91" s="906">
        <v>0</v>
      </c>
      <c r="AH91" s="1612" t="e">
        <f t="shared" si="57"/>
        <v>#DIV/0!</v>
      </c>
      <c r="AI91" s="1614">
        <v>400000000</v>
      </c>
      <c r="AJ91" s="1614">
        <f t="shared" si="71"/>
        <v>197204527</v>
      </c>
      <c r="AK91" s="894">
        <f t="shared" si="61"/>
        <v>0.49301131749999999</v>
      </c>
      <c r="AL91" s="1615"/>
      <c r="AM91" s="1615"/>
      <c r="AN91" s="603" t="s">
        <v>302</v>
      </c>
      <c r="AO91" s="1897"/>
      <c r="AP91" s="594"/>
      <c r="AQ91" s="594"/>
    </row>
    <row r="92" spans="1:43" ht="13.5" thickBot="1" x14ac:dyDescent="0.3">
      <c r="A92" s="742" t="s">
        <v>466</v>
      </c>
      <c r="B92" s="743"/>
      <c r="C92" s="744"/>
      <c r="D92" s="745"/>
      <c r="E92" s="746"/>
      <c r="F92" s="744"/>
      <c r="G92" s="744"/>
      <c r="H92" s="747">
        <v>0</v>
      </c>
      <c r="I92" s="747">
        <f>+SUMPRODUCT(I93:I96,X93:X96)</f>
        <v>1</v>
      </c>
      <c r="J92" s="750"/>
      <c r="K92" s="743"/>
      <c r="L92" s="749"/>
      <c r="M92" s="750"/>
      <c r="N92" s="750"/>
      <c r="O92" s="749"/>
      <c r="P92" s="749"/>
      <c r="Q92" s="749"/>
      <c r="R92" s="752"/>
      <c r="S92" s="749"/>
      <c r="T92" s="826"/>
      <c r="U92" s="754"/>
      <c r="V92" s="755">
        <f>+SUMPRODUCT(V93:V96,W93:W96)</f>
        <v>0.58278688524590161</v>
      </c>
      <c r="W92" s="747">
        <v>0.2</v>
      </c>
      <c r="X92" s="756">
        <v>0.2</v>
      </c>
      <c r="Y92" s="757">
        <f>SUM(Y93:Y96)</f>
        <v>730000000</v>
      </c>
      <c r="Z92" s="757">
        <f>SUM(Z93:Z96)</f>
        <v>0</v>
      </c>
      <c r="AA92" s="757">
        <f>SUM(AA93:AA96)</f>
        <v>719594635</v>
      </c>
      <c r="AB92" s="758">
        <f t="shared" si="55"/>
        <v>0.98574607534246572</v>
      </c>
      <c r="AC92" s="757">
        <f>SUM(AC93:AC96)</f>
        <v>396251203</v>
      </c>
      <c r="AD92" s="748">
        <f t="shared" si="56"/>
        <v>0.54280986712328771</v>
      </c>
      <c r="AE92" s="928">
        <f>SUM(AE93:AE96)</f>
        <v>323343432</v>
      </c>
      <c r="AF92" s="750">
        <f>SUM(AF93:AF96)</f>
        <v>0</v>
      </c>
      <c r="AG92" s="757">
        <f>SUM(AG93:AG96)</f>
        <v>0</v>
      </c>
      <c r="AH92" s="760" t="e">
        <f t="shared" si="57"/>
        <v>#DIV/0!</v>
      </c>
      <c r="AI92" s="757">
        <f>SUM(AI93:AI96)</f>
        <v>1560000000</v>
      </c>
      <c r="AJ92" s="757">
        <f>SUM(AJ93:AJ96)</f>
        <v>719594635</v>
      </c>
      <c r="AK92" s="1617">
        <f t="shared" si="61"/>
        <v>0.46127861217948718</v>
      </c>
      <c r="AL92" s="761"/>
      <c r="AM92" s="761"/>
      <c r="AN92" s="210"/>
      <c r="AO92" s="928"/>
      <c r="AP92" s="213"/>
      <c r="AQ92" s="213"/>
    </row>
    <row r="93" spans="1:43" ht="63.75" x14ac:dyDescent="0.25">
      <c r="A93" s="250" t="s">
        <v>575</v>
      </c>
      <c r="B93" s="338" t="s">
        <v>766</v>
      </c>
      <c r="C93" s="372">
        <v>0</v>
      </c>
      <c r="D93" s="306">
        <v>1</v>
      </c>
      <c r="E93" s="219">
        <v>0</v>
      </c>
      <c r="F93" s="728">
        <v>1</v>
      </c>
      <c r="G93" s="728"/>
      <c r="H93" s="729" t="e">
        <f t="shared" ref="H93" si="74">IF((E93+G93)/C93&gt;=100%,100%,(E93+G93)/C93)</f>
        <v>#DIV/0!</v>
      </c>
      <c r="I93" s="910">
        <f t="shared" ref="I93" si="75">IF(F93/D93&gt;=100%,100%,F93/D93)</f>
        <v>1</v>
      </c>
      <c r="J93" s="591" t="s">
        <v>963</v>
      </c>
      <c r="K93" s="585"/>
      <c r="L93" s="731"/>
      <c r="M93" s="732"/>
      <c r="N93" s="585"/>
      <c r="O93" s="176"/>
      <c r="P93" s="176"/>
      <c r="Q93" s="176"/>
      <c r="R93" s="734"/>
      <c r="S93" s="176"/>
      <c r="T93" s="219">
        <v>1</v>
      </c>
      <c r="U93" s="736">
        <f>SUM(E93:G93)</f>
        <v>1</v>
      </c>
      <c r="V93" s="152">
        <f t="shared" ref="V93" si="76">IF(U93/T93&gt;=100%,100%,U93/T93)</f>
        <v>1</v>
      </c>
      <c r="W93" s="399">
        <v>0.2</v>
      </c>
      <c r="X93" s="393">
        <v>0.2</v>
      </c>
      <c r="Y93" s="461">
        <v>150000000</v>
      </c>
      <c r="Z93" s="275">
        <v>0</v>
      </c>
      <c r="AA93" s="461">
        <v>148136352</v>
      </c>
      <c r="AB93" s="1596">
        <f t="shared" si="55"/>
        <v>0.98757567999999996</v>
      </c>
      <c r="AC93" s="461">
        <v>140580493</v>
      </c>
      <c r="AD93" s="1597">
        <f t="shared" si="56"/>
        <v>0.93720328666666664</v>
      </c>
      <c r="AE93" s="1598">
        <f>+AA93-AC93</f>
        <v>7555859</v>
      </c>
      <c r="AF93" s="1522">
        <v>0</v>
      </c>
      <c r="AG93" s="275">
        <v>0</v>
      </c>
      <c r="AH93" s="1097" t="e">
        <f t="shared" si="57"/>
        <v>#DIV/0!</v>
      </c>
      <c r="AI93" s="1599">
        <v>150000000</v>
      </c>
      <c r="AJ93" s="1599">
        <f t="shared" ref="AJ93:AJ96" si="77">+SUM(Z93:AA93)</f>
        <v>148136352</v>
      </c>
      <c r="AK93" s="1597">
        <f t="shared" si="61"/>
        <v>0.98757567999999996</v>
      </c>
      <c r="AL93" s="1600"/>
      <c r="AM93" s="171"/>
      <c r="AN93" s="591" t="s">
        <v>23</v>
      </c>
      <c r="AO93" s="1903" t="s">
        <v>906</v>
      </c>
      <c r="AP93" s="595"/>
      <c r="AQ93" s="595"/>
    </row>
    <row r="94" spans="1:43" ht="51" x14ac:dyDescent="0.25">
      <c r="A94" s="250" t="s">
        <v>576</v>
      </c>
      <c r="B94" s="339" t="s">
        <v>767</v>
      </c>
      <c r="C94" s="372">
        <v>0</v>
      </c>
      <c r="D94" s="306">
        <v>21</v>
      </c>
      <c r="E94" s="219">
        <v>0</v>
      </c>
      <c r="F94" s="147">
        <v>27</v>
      </c>
      <c r="G94" s="147"/>
      <c r="H94" s="167" t="e">
        <f t="shared" ref="H94:H96" si="78">IF((E94+G94)/C94&gt;=100%,100%,(E94+G94)/C94)</f>
        <v>#DIV/0!</v>
      </c>
      <c r="I94" s="520">
        <f t="shared" ref="I94:I96" si="79">IF(F94/D94&gt;=100%,100%,F94/D94)</f>
        <v>1</v>
      </c>
      <c r="J94" s="151" t="s">
        <v>964</v>
      </c>
      <c r="K94" s="146"/>
      <c r="L94" s="102"/>
      <c r="M94" s="104"/>
      <c r="N94" s="146"/>
      <c r="O94" s="149"/>
      <c r="P94" s="149"/>
      <c r="Q94" s="149"/>
      <c r="R94" s="150"/>
      <c r="S94" s="149"/>
      <c r="T94" s="190">
        <v>61</v>
      </c>
      <c r="U94" s="195">
        <f t="shared" ref="U94:U96" si="80">SUM(E94:G94)</f>
        <v>27</v>
      </c>
      <c r="V94" s="152">
        <f t="shared" ref="V94:V96" si="81">IF(U94/T94&gt;=100%,100%,U94/T94)</f>
        <v>0.44262295081967212</v>
      </c>
      <c r="W94" s="404">
        <v>0.3</v>
      </c>
      <c r="X94" s="396">
        <v>0.3</v>
      </c>
      <c r="Y94" s="464">
        <v>210000000</v>
      </c>
      <c r="Z94" s="274">
        <v>0</v>
      </c>
      <c r="AA94" s="464">
        <v>206893921</v>
      </c>
      <c r="AB94" s="1095">
        <f t="shared" si="55"/>
        <v>0.98520914761904765</v>
      </c>
      <c r="AC94" s="464">
        <v>36560820</v>
      </c>
      <c r="AD94" s="598">
        <f t="shared" si="56"/>
        <v>0.17409914285714287</v>
      </c>
      <c r="AE94" s="1601">
        <f>+AA94-AC94</f>
        <v>170333101</v>
      </c>
      <c r="AF94" s="1520">
        <v>0</v>
      </c>
      <c r="AG94" s="274">
        <v>0</v>
      </c>
      <c r="AH94" s="1097" t="e">
        <f t="shared" si="57"/>
        <v>#DIV/0!</v>
      </c>
      <c r="AI94" s="1603">
        <v>610000000</v>
      </c>
      <c r="AJ94" s="1603">
        <f t="shared" si="77"/>
        <v>206893921</v>
      </c>
      <c r="AK94" s="598">
        <f t="shared" si="61"/>
        <v>0.33917036229508196</v>
      </c>
      <c r="AL94" s="1604"/>
      <c r="AM94" s="155"/>
      <c r="AN94" s="151" t="s">
        <v>23</v>
      </c>
      <c r="AO94" s="1897"/>
      <c r="AP94" s="98"/>
      <c r="AQ94" s="98"/>
    </row>
    <row r="95" spans="1:43" ht="63.75" x14ac:dyDescent="0.25">
      <c r="A95" s="250" t="s">
        <v>577</v>
      </c>
      <c r="B95" s="339" t="s">
        <v>768</v>
      </c>
      <c r="C95" s="372">
        <v>0</v>
      </c>
      <c r="D95" s="306">
        <v>1</v>
      </c>
      <c r="E95" s="219">
        <v>0</v>
      </c>
      <c r="F95" s="147">
        <v>1</v>
      </c>
      <c r="G95" s="147"/>
      <c r="H95" s="167" t="e">
        <f t="shared" si="78"/>
        <v>#DIV/0!</v>
      </c>
      <c r="I95" s="520">
        <f t="shared" si="79"/>
        <v>1</v>
      </c>
      <c r="J95" s="601" t="s">
        <v>1101</v>
      </c>
      <c r="K95" s="146"/>
      <c r="L95" s="102"/>
      <c r="M95" s="104"/>
      <c r="N95" s="146"/>
      <c r="O95" s="149"/>
      <c r="P95" s="149"/>
      <c r="Q95" s="149"/>
      <c r="R95" s="150"/>
      <c r="S95" s="149"/>
      <c r="T95" s="190">
        <v>2</v>
      </c>
      <c r="U95" s="195">
        <f t="shared" si="80"/>
        <v>1</v>
      </c>
      <c r="V95" s="152">
        <f t="shared" si="81"/>
        <v>0.5</v>
      </c>
      <c r="W95" s="404">
        <v>0.3</v>
      </c>
      <c r="X95" s="396">
        <v>0.3</v>
      </c>
      <c r="Y95" s="464">
        <v>220000000</v>
      </c>
      <c r="Z95" s="274">
        <v>0</v>
      </c>
      <c r="AA95" s="464">
        <v>216893921</v>
      </c>
      <c r="AB95" s="1095">
        <f t="shared" si="55"/>
        <v>0.98588145909090907</v>
      </c>
      <c r="AC95" s="464">
        <v>210960820</v>
      </c>
      <c r="AD95" s="1096">
        <f t="shared" si="56"/>
        <v>0.95891281818181817</v>
      </c>
      <c r="AE95" s="1601">
        <f>+AA95-AC95</f>
        <v>5933101</v>
      </c>
      <c r="AF95" s="1520">
        <v>0</v>
      </c>
      <c r="AG95" s="274">
        <v>0</v>
      </c>
      <c r="AH95" s="1097" t="e">
        <f t="shared" si="57"/>
        <v>#DIV/0!</v>
      </c>
      <c r="AI95" s="1670">
        <v>500000000</v>
      </c>
      <c r="AJ95" s="1603">
        <f t="shared" si="77"/>
        <v>216893921</v>
      </c>
      <c r="AK95" s="598">
        <f t="shared" si="61"/>
        <v>0.43378784199999998</v>
      </c>
      <c r="AL95" s="1604"/>
      <c r="AM95" s="155"/>
      <c r="AN95" s="151" t="s">
        <v>23</v>
      </c>
      <c r="AO95" s="1897"/>
      <c r="AP95" s="98"/>
      <c r="AQ95" s="98"/>
    </row>
    <row r="96" spans="1:43" ht="77.25" thickBot="1" x14ac:dyDescent="0.3">
      <c r="A96" s="899" t="s">
        <v>578</v>
      </c>
      <c r="B96" s="876" t="s">
        <v>769</v>
      </c>
      <c r="C96" s="900">
        <v>0</v>
      </c>
      <c r="D96" s="901">
        <v>1</v>
      </c>
      <c r="E96" s="902">
        <v>0</v>
      </c>
      <c r="F96" s="573">
        <v>1</v>
      </c>
      <c r="G96" s="573"/>
      <c r="H96" s="561" t="e">
        <f t="shared" si="78"/>
        <v>#DIV/0!</v>
      </c>
      <c r="I96" s="557">
        <f t="shared" si="79"/>
        <v>1</v>
      </c>
      <c r="J96" s="791" t="s">
        <v>965</v>
      </c>
      <c r="K96" s="783"/>
      <c r="L96" s="177"/>
      <c r="M96" s="178"/>
      <c r="N96" s="568"/>
      <c r="O96" s="824"/>
      <c r="P96" s="824"/>
      <c r="Q96" s="824"/>
      <c r="R96" s="574"/>
      <c r="S96" s="824"/>
      <c r="T96" s="817">
        <v>2</v>
      </c>
      <c r="U96" s="555">
        <f t="shared" si="80"/>
        <v>1</v>
      </c>
      <c r="V96" s="801">
        <f t="shared" si="81"/>
        <v>0.5</v>
      </c>
      <c r="W96" s="903">
        <v>0.2</v>
      </c>
      <c r="X96" s="904">
        <v>0.2</v>
      </c>
      <c r="Y96" s="905">
        <v>150000000</v>
      </c>
      <c r="Z96" s="906">
        <v>0</v>
      </c>
      <c r="AA96" s="905">
        <v>147670441</v>
      </c>
      <c r="AB96" s="1610">
        <f t="shared" si="55"/>
        <v>0.98446960666666672</v>
      </c>
      <c r="AC96" s="905">
        <v>8149070</v>
      </c>
      <c r="AD96" s="894">
        <f t="shared" si="56"/>
        <v>5.4327133333333333E-2</v>
      </c>
      <c r="AE96" s="1611">
        <f>+AA96-AC96</f>
        <v>139521371</v>
      </c>
      <c r="AF96" s="1521">
        <v>0</v>
      </c>
      <c r="AG96" s="906">
        <v>0</v>
      </c>
      <c r="AH96" s="1612" t="e">
        <f t="shared" si="57"/>
        <v>#DIV/0!</v>
      </c>
      <c r="AI96" s="1614">
        <v>300000000</v>
      </c>
      <c r="AJ96" s="1614">
        <f t="shared" si="77"/>
        <v>147670441</v>
      </c>
      <c r="AK96" s="894">
        <f t="shared" si="61"/>
        <v>0.49223480333333336</v>
      </c>
      <c r="AL96" s="1671"/>
      <c r="AM96" s="162"/>
      <c r="AN96" s="589" t="s">
        <v>23</v>
      </c>
      <c r="AO96" s="1897"/>
      <c r="AP96" s="594"/>
      <c r="AQ96" s="594"/>
    </row>
    <row r="97" spans="1:43" ht="13.5" thickBot="1" x14ac:dyDescent="0.3">
      <c r="A97" s="742" t="s">
        <v>467</v>
      </c>
      <c r="B97" s="743"/>
      <c r="C97" s="744"/>
      <c r="D97" s="745"/>
      <c r="E97" s="746"/>
      <c r="F97" s="744"/>
      <c r="G97" s="744"/>
      <c r="H97" s="747">
        <f>+(H98*W98)</f>
        <v>1</v>
      </c>
      <c r="I97" s="748">
        <f>+SUMPRODUCT(I98:I98,X98:X98)</f>
        <v>1</v>
      </c>
      <c r="J97" s="750"/>
      <c r="K97" s="743"/>
      <c r="L97" s="749"/>
      <c r="M97" s="750"/>
      <c r="N97" s="750"/>
      <c r="O97" s="749"/>
      <c r="P97" s="749"/>
      <c r="Q97" s="749"/>
      <c r="R97" s="752"/>
      <c r="S97" s="749"/>
      <c r="T97" s="826"/>
      <c r="U97" s="754">
        <f>SUM(E97:G97)</f>
        <v>0</v>
      </c>
      <c r="V97" s="755">
        <f>+SUMPRODUCT(V98:V98,W98:W98)</f>
        <v>0.5</v>
      </c>
      <c r="W97" s="747">
        <v>0.1</v>
      </c>
      <c r="X97" s="756">
        <v>0.1</v>
      </c>
      <c r="Y97" s="757">
        <f>SUM(Y98)</f>
        <v>100000000</v>
      </c>
      <c r="Z97" s="757">
        <f>SUM(Z98:Z98)</f>
        <v>88650000</v>
      </c>
      <c r="AA97" s="757">
        <f>SUM(AA98:AA98)</f>
        <v>91165496</v>
      </c>
      <c r="AB97" s="758">
        <f t="shared" si="55"/>
        <v>0.91165496000000001</v>
      </c>
      <c r="AC97" s="757">
        <f>SUM(AC98:AC98)</f>
        <v>74151059</v>
      </c>
      <c r="AD97" s="748">
        <f t="shared" si="56"/>
        <v>0.74151058999999997</v>
      </c>
      <c r="AE97" s="928">
        <f>SUM(AE98:AE98)</f>
        <v>17014437</v>
      </c>
      <c r="AF97" s="750">
        <f>SUM(AF98:AF98)</f>
        <v>17950000</v>
      </c>
      <c r="AG97" s="757">
        <f>SUM(AG98:AG98)</f>
        <v>17950000</v>
      </c>
      <c r="AH97" s="760">
        <f t="shared" si="57"/>
        <v>1</v>
      </c>
      <c r="AI97" s="757">
        <f>SUM(AI98:AI98)</f>
        <v>400000000</v>
      </c>
      <c r="AJ97" s="757">
        <f>SUM(AJ98:AJ98)</f>
        <v>179815496</v>
      </c>
      <c r="AK97" s="747">
        <f t="shared" si="61"/>
        <v>0.44953873999999999</v>
      </c>
      <c r="AL97" s="761"/>
      <c r="AM97" s="761"/>
      <c r="AN97" s="210"/>
      <c r="AO97" s="928"/>
      <c r="AP97" s="213"/>
      <c r="AQ97" s="213"/>
    </row>
    <row r="98" spans="1:43" ht="102.75" thickBot="1" x14ac:dyDescent="0.3">
      <c r="A98" s="942" t="s">
        <v>579</v>
      </c>
      <c r="B98" s="1022" t="s">
        <v>770</v>
      </c>
      <c r="C98" s="1023">
        <v>1</v>
      </c>
      <c r="D98" s="1024">
        <v>1</v>
      </c>
      <c r="E98" s="778">
        <v>1</v>
      </c>
      <c r="F98" s="779">
        <v>1</v>
      </c>
      <c r="G98" s="779"/>
      <c r="H98" s="780">
        <f t="shared" ref="H98" si="82">IF((E98+G98)/C98&gt;=100%,100%,(E98+G98)/C98)</f>
        <v>1</v>
      </c>
      <c r="I98" s="772">
        <f t="shared" ref="I98" si="83">IF(F98/D98&gt;=100%,100%,F98/D98)</f>
        <v>1</v>
      </c>
      <c r="J98" s="791" t="s">
        <v>966</v>
      </c>
      <c r="K98" s="783"/>
      <c r="L98" s="781"/>
      <c r="M98" s="782"/>
      <c r="N98" s="783"/>
      <c r="O98" s="824"/>
      <c r="P98" s="824"/>
      <c r="Q98" s="824"/>
      <c r="R98" s="784"/>
      <c r="S98" s="824"/>
      <c r="T98" s="817">
        <v>4</v>
      </c>
      <c r="U98" s="739">
        <f>SUM(E98:G98)</f>
        <v>2</v>
      </c>
      <c r="V98" s="801">
        <f t="shared" ref="V98" si="84">IF(U98/T98&gt;=100%,100%,U98/T98)</f>
        <v>0.5</v>
      </c>
      <c r="W98" s="805">
        <v>1</v>
      </c>
      <c r="X98" s="806">
        <v>1</v>
      </c>
      <c r="Y98" s="1025">
        <v>100000000</v>
      </c>
      <c r="Z98" s="1025">
        <v>88650000</v>
      </c>
      <c r="AA98" s="1025">
        <v>91165496</v>
      </c>
      <c r="AB98" s="788">
        <f t="shared" si="55"/>
        <v>0.91165496000000001</v>
      </c>
      <c r="AC98" s="1025">
        <v>74151059</v>
      </c>
      <c r="AD98" s="772">
        <f t="shared" si="56"/>
        <v>0.74151058999999997</v>
      </c>
      <c r="AE98" s="789">
        <f>+AA98-AC98</f>
        <v>17014437</v>
      </c>
      <c r="AF98" s="1538">
        <v>17950000</v>
      </c>
      <c r="AG98" s="1025">
        <v>17950000</v>
      </c>
      <c r="AH98" s="581">
        <f t="shared" si="57"/>
        <v>1</v>
      </c>
      <c r="AI98" s="790">
        <v>400000000</v>
      </c>
      <c r="AJ98" s="790">
        <f>+SUM(Z98:AA98)</f>
        <v>179815496</v>
      </c>
      <c r="AK98" s="1652">
        <f t="shared" si="61"/>
        <v>0.44953873999999999</v>
      </c>
      <c r="AL98" s="741"/>
      <c r="AM98" s="741"/>
      <c r="AN98" s="791" t="s">
        <v>302</v>
      </c>
      <c r="AO98" s="943" t="s">
        <v>906</v>
      </c>
      <c r="AP98" s="586"/>
      <c r="AQ98" s="586"/>
    </row>
    <row r="99" spans="1:43" ht="18.75" thickBot="1" x14ac:dyDescent="0.3">
      <c r="A99" s="1045" t="s">
        <v>890</v>
      </c>
      <c r="B99" s="1046"/>
      <c r="C99" s="1071"/>
      <c r="D99" s="1072"/>
      <c r="E99" s="1073"/>
      <c r="F99" s="1071"/>
      <c r="G99" s="1071"/>
      <c r="H99" s="1051">
        <f>+(H100*W100)+(H117*W117)+(H134*W134)+(H140*W140)</f>
        <v>0.71875</v>
      </c>
      <c r="I99" s="1051">
        <f>+(I100*X100)+(I117*X117)+(I134*X134)+(I140*X140)</f>
        <v>0.91249999999999998</v>
      </c>
      <c r="J99" s="1051"/>
      <c r="K99" s="1074">
        <f t="shared" ref="K99:R99" si="85">+(K100*AA100)</f>
        <v>0</v>
      </c>
      <c r="L99" s="1051">
        <f t="shared" si="85"/>
        <v>0</v>
      </c>
      <c r="M99" s="1051">
        <f t="shared" si="85"/>
        <v>0</v>
      </c>
      <c r="N99" s="1051">
        <f t="shared" si="85"/>
        <v>0</v>
      </c>
      <c r="O99" s="1051">
        <f t="shared" si="85"/>
        <v>0</v>
      </c>
      <c r="P99" s="1051">
        <f t="shared" si="85"/>
        <v>0</v>
      </c>
      <c r="Q99" s="1051">
        <f t="shared" si="85"/>
        <v>0</v>
      </c>
      <c r="R99" s="1051">
        <f t="shared" si="85"/>
        <v>0</v>
      </c>
      <c r="S99" s="1051"/>
      <c r="T99" s="1051"/>
      <c r="U99" s="1051"/>
      <c r="V99" s="1059">
        <f>+(V100*W100)+(V117*W117)+(V134*W134)+(V140*W140)</f>
        <v>0.52095918062200952</v>
      </c>
      <c r="W99" s="1066">
        <v>0.15</v>
      </c>
      <c r="X99" s="1075">
        <v>0.15</v>
      </c>
      <c r="Y99" s="1062">
        <f>+Y100+Y117+Y134+Y140</f>
        <v>5430000000</v>
      </c>
      <c r="Z99" s="1062">
        <f>+Z100+Z117+Z134+Z140</f>
        <v>1833038631</v>
      </c>
      <c r="AA99" s="1063">
        <f>+AA100+AA117+AA134+AA140</f>
        <v>5358674824.6800003</v>
      </c>
      <c r="AB99" s="1056">
        <f t="shared" si="55"/>
        <v>0.98686460859668512</v>
      </c>
      <c r="AC99" s="1062">
        <f>+AC100+AC117+AC134+AC140</f>
        <v>4196895217</v>
      </c>
      <c r="AD99" s="1064">
        <f t="shared" si="56"/>
        <v>0.77290887974217315</v>
      </c>
      <c r="AE99" s="1047">
        <f>+AE100+AE117+AE134+AE140</f>
        <v>1161779607.6800001</v>
      </c>
      <c r="AF99" s="1068">
        <f>+AF100+AF117+AF134+AF140</f>
        <v>900914523</v>
      </c>
      <c r="AG99" s="1062">
        <f>+AG100+AG117+AG134+AG140</f>
        <v>751671583</v>
      </c>
      <c r="AH99" s="1076">
        <f t="shared" si="57"/>
        <v>0.83434284142403592</v>
      </c>
      <c r="AI99" s="1062">
        <f t="shared" ref="AI99:AJ99" si="86">+AI100+AI117+AI134+AI140</f>
        <v>30000000000</v>
      </c>
      <c r="AJ99" s="1062">
        <f t="shared" si="86"/>
        <v>7191713455.6800003</v>
      </c>
      <c r="AK99" s="1066">
        <f t="shared" si="61"/>
        <v>0.23972378185600002</v>
      </c>
      <c r="AL99" s="1067"/>
      <c r="AM99" s="1067"/>
      <c r="AN99" s="1068"/>
      <c r="AO99" s="1047"/>
      <c r="AP99" s="1077"/>
      <c r="AQ99" s="1077"/>
    </row>
    <row r="100" spans="1:43" s="554" customFormat="1" ht="26.25" thickBot="1" x14ac:dyDescent="0.3">
      <c r="A100" s="628" t="s">
        <v>432</v>
      </c>
      <c r="B100" s="629"/>
      <c r="C100" s="630"/>
      <c r="D100" s="631"/>
      <c r="E100" s="632"/>
      <c r="F100" s="630"/>
      <c r="G100" s="630"/>
      <c r="H100" s="837">
        <f>+(H101*W101)+(H105*W105)+(H111*W111)+(H114*W114)</f>
        <v>0.625</v>
      </c>
      <c r="I100" s="644">
        <f>+(I101*X101)+(I105*X105)+(I111*X111)+(I114*X114)</f>
        <v>0.75</v>
      </c>
      <c r="J100" s="637"/>
      <c r="K100" s="629"/>
      <c r="L100" s="636"/>
      <c r="M100" s="637"/>
      <c r="N100" s="637"/>
      <c r="O100" s="636"/>
      <c r="P100" s="636"/>
      <c r="Q100" s="636"/>
      <c r="R100" s="639"/>
      <c r="S100" s="636"/>
      <c r="T100" s="838"/>
      <c r="U100" s="641"/>
      <c r="V100" s="839">
        <f>+(V101*W101)+(V105*W105)+(V111*W111)+(V114*W114)</f>
        <v>0.36369019138755981</v>
      </c>
      <c r="W100" s="646">
        <v>0.35</v>
      </c>
      <c r="X100" s="657">
        <v>0.35</v>
      </c>
      <c r="Y100" s="642">
        <f>+Y101+Y105+Y111+Y114</f>
        <v>2320000000</v>
      </c>
      <c r="Z100" s="642">
        <f>+Z101+Z105+Z111+Z114</f>
        <v>833538631</v>
      </c>
      <c r="AA100" s="642">
        <f>+AA101+AA105+AA111+AA114</f>
        <v>2288896506</v>
      </c>
      <c r="AB100" s="643">
        <f t="shared" si="55"/>
        <v>0.98659332155172419</v>
      </c>
      <c r="AC100" s="642">
        <f>+AC101+AC105+AC111+AC114</f>
        <v>1918434383</v>
      </c>
      <c r="AD100" s="644">
        <f t="shared" si="56"/>
        <v>0.82691137198275866</v>
      </c>
      <c r="AE100" s="629">
        <f>+AE101+AE105+AE111+AE114</f>
        <v>370462123</v>
      </c>
      <c r="AF100" s="637">
        <f>+AF101+AF105+AF111+AF114</f>
        <v>58664523</v>
      </c>
      <c r="AG100" s="642">
        <f>+AG101+AG105+AG111+AG114</f>
        <v>55671583</v>
      </c>
      <c r="AH100" s="645">
        <f t="shared" si="57"/>
        <v>0.94898211309073455</v>
      </c>
      <c r="AI100" s="642">
        <f t="shared" ref="AI100:AJ100" si="87">+AI101+AI105+AI111+AI114</f>
        <v>14030000000</v>
      </c>
      <c r="AJ100" s="642">
        <f t="shared" si="87"/>
        <v>3122435137</v>
      </c>
      <c r="AK100" s="646">
        <f t="shared" si="61"/>
        <v>0.22255417940128297</v>
      </c>
      <c r="AL100" s="636"/>
      <c r="AM100" s="636" t="s">
        <v>300</v>
      </c>
      <c r="AN100" s="637"/>
      <c r="AO100" s="629"/>
      <c r="AP100" s="634"/>
      <c r="AQ100" s="634"/>
    </row>
    <row r="101" spans="1:43" ht="26.25" thickBot="1" x14ac:dyDescent="0.3">
      <c r="A101" s="742" t="s">
        <v>468</v>
      </c>
      <c r="B101" s="743"/>
      <c r="C101" s="744"/>
      <c r="D101" s="745"/>
      <c r="E101" s="746"/>
      <c r="F101" s="744"/>
      <c r="G101" s="744"/>
      <c r="H101" s="747">
        <f>+(H102*50%)+(H104*50%)</f>
        <v>0.5</v>
      </c>
      <c r="I101" s="748">
        <f>+SUMPRODUCT(I102:I104,X102:X104)</f>
        <v>0.25</v>
      </c>
      <c r="J101" s="750"/>
      <c r="K101" s="743"/>
      <c r="L101" s="749"/>
      <c r="M101" s="750"/>
      <c r="N101" s="750"/>
      <c r="O101" s="749"/>
      <c r="P101" s="749"/>
      <c r="Q101" s="749"/>
      <c r="R101" s="752"/>
      <c r="S101" s="749"/>
      <c r="T101" s="826"/>
      <c r="U101" s="754"/>
      <c r="V101" s="1646">
        <f>+SUMPRODUCT(V102:V104,W102:W104)</f>
        <v>0.125</v>
      </c>
      <c r="W101" s="747">
        <v>0.25</v>
      </c>
      <c r="X101" s="756">
        <v>0.25</v>
      </c>
      <c r="Y101" s="757">
        <f>SUM(Y102:Y104)</f>
        <v>300000000</v>
      </c>
      <c r="Z101" s="757">
        <f>SUM(Z102:Z104)</f>
        <v>47000000</v>
      </c>
      <c r="AA101" s="757">
        <f>SUM(AA102:AA104)</f>
        <v>294634047</v>
      </c>
      <c r="AB101" s="758">
        <f t="shared" si="55"/>
        <v>0.98211349000000003</v>
      </c>
      <c r="AC101" s="757">
        <f>SUM(AC102:AC104)</f>
        <v>227384801</v>
      </c>
      <c r="AD101" s="748">
        <f t="shared" si="56"/>
        <v>0.75794933666666664</v>
      </c>
      <c r="AE101" s="928">
        <f>SUM(AE102:AE104)</f>
        <v>67249246</v>
      </c>
      <c r="AF101" s="750">
        <f>SUM(AF102:AF104)</f>
        <v>20000000</v>
      </c>
      <c r="AG101" s="757">
        <f>SUM(AG102:AG104)</f>
        <v>20000000</v>
      </c>
      <c r="AH101" s="760">
        <f t="shared" si="57"/>
        <v>1</v>
      </c>
      <c r="AI101" s="757">
        <f t="shared" ref="AI101:AJ101" si="88">SUM(AI102:AI104)</f>
        <v>2740000000</v>
      </c>
      <c r="AJ101" s="757">
        <f t="shared" si="88"/>
        <v>341634047</v>
      </c>
      <c r="AK101" s="1617">
        <f t="shared" si="61"/>
        <v>0.12468395875912409</v>
      </c>
      <c r="AL101" s="761"/>
      <c r="AM101" s="761"/>
      <c r="AN101" s="210"/>
      <c r="AO101" s="928"/>
      <c r="AP101" s="213"/>
      <c r="AQ101" s="213"/>
    </row>
    <row r="102" spans="1:43" ht="63.75" x14ac:dyDescent="0.25">
      <c r="A102" s="253" t="s">
        <v>580</v>
      </c>
      <c r="B102" s="338" t="s">
        <v>771</v>
      </c>
      <c r="C102" s="373">
        <v>5</v>
      </c>
      <c r="D102" s="307">
        <v>17</v>
      </c>
      <c r="E102" s="727">
        <v>0</v>
      </c>
      <c r="F102" s="728">
        <v>0</v>
      </c>
      <c r="G102" s="728">
        <v>0</v>
      </c>
      <c r="H102" s="729">
        <f t="shared" ref="H102:H104" si="89">IF((E102+G102)/C102&gt;=100%,100%,(E102+G102)/C102)</f>
        <v>0</v>
      </c>
      <c r="I102" s="730">
        <f t="shared" ref="I102:I104" si="90">IF(F102/D102&gt;=100%,100%,F102/D102)</f>
        <v>0</v>
      </c>
      <c r="J102" s="591" t="s">
        <v>967</v>
      </c>
      <c r="K102" s="585"/>
      <c r="L102" s="731"/>
      <c r="M102" s="732"/>
      <c r="N102" s="585"/>
      <c r="O102" s="176"/>
      <c r="P102" s="176"/>
      <c r="Q102" s="176"/>
      <c r="R102" s="734"/>
      <c r="S102" s="176"/>
      <c r="T102" s="1628">
        <v>22</v>
      </c>
      <c r="U102" s="993">
        <f>SUM(E102:G102)</f>
        <v>0</v>
      </c>
      <c r="V102" s="1594">
        <f>IF(U102/T102&gt;=100%,100%,U102/T102)</f>
        <v>0</v>
      </c>
      <c r="W102" s="409">
        <v>0.25</v>
      </c>
      <c r="X102" s="432">
        <v>0.25</v>
      </c>
      <c r="Y102" s="465">
        <v>150000000</v>
      </c>
      <c r="Z102" s="279">
        <v>47000000</v>
      </c>
      <c r="AA102" s="465">
        <v>147263496</v>
      </c>
      <c r="AB102" s="1596">
        <f t="shared" si="55"/>
        <v>0.98175663999999996</v>
      </c>
      <c r="AC102" s="465">
        <v>128772454</v>
      </c>
      <c r="AD102" s="1597">
        <f t="shared" si="56"/>
        <v>0.85848302666666665</v>
      </c>
      <c r="AE102" s="1598">
        <f>+AA102-AC102</f>
        <v>18491042</v>
      </c>
      <c r="AF102" s="1539">
        <v>20000000</v>
      </c>
      <c r="AG102" s="279">
        <v>20000000</v>
      </c>
      <c r="AH102" s="1097">
        <f t="shared" si="57"/>
        <v>1</v>
      </c>
      <c r="AI102" s="1599">
        <v>660000000</v>
      </c>
      <c r="AJ102" s="1599">
        <f t="shared" ref="AJ102:AJ104" si="91">+SUM(Z102:AA102)</f>
        <v>194263496</v>
      </c>
      <c r="AK102" s="1592">
        <f t="shared" si="61"/>
        <v>0.29433863030303031</v>
      </c>
      <c r="AL102" s="1600"/>
      <c r="AM102" s="171"/>
      <c r="AN102" s="591" t="s">
        <v>30</v>
      </c>
      <c r="AO102" s="1904" t="s">
        <v>912</v>
      </c>
      <c r="AP102" s="595"/>
      <c r="AQ102" s="595"/>
    </row>
    <row r="103" spans="1:43" ht="63.75" x14ac:dyDescent="0.25">
      <c r="A103" s="253" t="s">
        <v>581</v>
      </c>
      <c r="B103" s="339" t="s">
        <v>772</v>
      </c>
      <c r="C103" s="373">
        <v>0</v>
      </c>
      <c r="D103" s="307">
        <v>10</v>
      </c>
      <c r="E103" s="182">
        <v>0</v>
      </c>
      <c r="F103" s="147">
        <v>0</v>
      </c>
      <c r="G103" s="147"/>
      <c r="H103" s="167" t="e">
        <f t="shared" si="89"/>
        <v>#DIV/0!</v>
      </c>
      <c r="I103" s="520">
        <f t="shared" si="90"/>
        <v>0</v>
      </c>
      <c r="J103" s="151" t="s">
        <v>968</v>
      </c>
      <c r="K103" s="146"/>
      <c r="L103" s="102"/>
      <c r="M103" s="104"/>
      <c r="N103" s="146"/>
      <c r="O103" s="149"/>
      <c r="P103" s="149"/>
      <c r="Q103" s="149"/>
      <c r="R103" s="150"/>
      <c r="S103" s="149"/>
      <c r="T103" s="1605">
        <v>44</v>
      </c>
      <c r="U103" s="599">
        <f t="shared" ref="U103:U104" si="92">SUM(E103:G103)</f>
        <v>0</v>
      </c>
      <c r="V103" s="1594">
        <f t="shared" ref="V103:V104" si="93">IF(U103/T103&gt;=100%,100%,U103/T103)</f>
        <v>0</v>
      </c>
      <c r="W103" s="409">
        <v>0.5</v>
      </c>
      <c r="X103" s="432">
        <v>0.5</v>
      </c>
      <c r="Y103" s="466">
        <v>100000000</v>
      </c>
      <c r="Z103" s="279">
        <v>0</v>
      </c>
      <c r="AA103" s="465">
        <v>98241360</v>
      </c>
      <c r="AB103" s="1095">
        <f t="shared" si="55"/>
        <v>0.9824136</v>
      </c>
      <c r="AC103" s="465">
        <v>77916973</v>
      </c>
      <c r="AD103" s="1096">
        <f t="shared" si="56"/>
        <v>0.77916973</v>
      </c>
      <c r="AE103" s="1601">
        <f>+AA103-AC103</f>
        <v>20324387</v>
      </c>
      <c r="AF103" s="1539">
        <v>0</v>
      </c>
      <c r="AG103" s="279">
        <v>0</v>
      </c>
      <c r="AH103" s="1097" t="e">
        <f t="shared" si="57"/>
        <v>#DIV/0!</v>
      </c>
      <c r="AI103" s="1603">
        <v>1580000000</v>
      </c>
      <c r="AJ103" s="1603">
        <f t="shared" si="91"/>
        <v>98241360</v>
      </c>
      <c r="AK103" s="598">
        <f t="shared" si="61"/>
        <v>6.2178075949367091E-2</v>
      </c>
      <c r="AL103" s="1604"/>
      <c r="AM103" s="155"/>
      <c r="AN103" s="151" t="s">
        <v>30</v>
      </c>
      <c r="AO103" s="1897"/>
      <c r="AP103" s="98"/>
      <c r="AQ103" s="98"/>
    </row>
    <row r="104" spans="1:43" ht="51.75" thickBot="1" x14ac:dyDescent="0.3">
      <c r="A104" s="596" t="s">
        <v>582</v>
      </c>
      <c r="B104" s="876" t="s">
        <v>773</v>
      </c>
      <c r="C104" s="882">
        <v>1</v>
      </c>
      <c r="D104" s="883">
        <v>1</v>
      </c>
      <c r="E104" s="668">
        <v>0</v>
      </c>
      <c r="F104" s="573">
        <v>1</v>
      </c>
      <c r="G104" s="573">
        <v>1</v>
      </c>
      <c r="H104" s="561">
        <f t="shared" si="89"/>
        <v>1</v>
      </c>
      <c r="I104" s="557">
        <f t="shared" si="90"/>
        <v>1</v>
      </c>
      <c r="J104" s="589" t="s">
        <v>969</v>
      </c>
      <c r="K104" s="568"/>
      <c r="L104" s="177"/>
      <c r="M104" s="178"/>
      <c r="N104" s="568"/>
      <c r="O104" s="168"/>
      <c r="P104" s="168"/>
      <c r="Q104" s="168"/>
      <c r="R104" s="574"/>
      <c r="S104" s="168"/>
      <c r="T104" s="1607">
        <v>4</v>
      </c>
      <c r="U104" s="935">
        <f t="shared" si="92"/>
        <v>2</v>
      </c>
      <c r="V104" s="1608">
        <f t="shared" si="93"/>
        <v>0.5</v>
      </c>
      <c r="W104" s="892">
        <v>0.25</v>
      </c>
      <c r="X104" s="893">
        <v>0.25</v>
      </c>
      <c r="Y104" s="836">
        <v>50000000</v>
      </c>
      <c r="Z104" s="891">
        <v>0</v>
      </c>
      <c r="AA104" s="836">
        <v>49129191</v>
      </c>
      <c r="AB104" s="1610">
        <f t="shared" si="55"/>
        <v>0.98258382</v>
      </c>
      <c r="AC104" s="836">
        <v>20695374</v>
      </c>
      <c r="AD104" s="894">
        <f t="shared" si="56"/>
        <v>0.41390747999999999</v>
      </c>
      <c r="AE104" s="1611">
        <f>+AA104-AC104</f>
        <v>28433817</v>
      </c>
      <c r="AF104" s="1540">
        <v>0</v>
      </c>
      <c r="AG104" s="891">
        <v>0</v>
      </c>
      <c r="AH104" s="1612" t="e">
        <f t="shared" si="57"/>
        <v>#DIV/0!</v>
      </c>
      <c r="AI104" s="1614">
        <v>500000000</v>
      </c>
      <c r="AJ104" s="1614">
        <f t="shared" si="91"/>
        <v>49129191</v>
      </c>
      <c r="AK104" s="894">
        <f t="shared" si="61"/>
        <v>9.8258382000000005E-2</v>
      </c>
      <c r="AL104" s="1615"/>
      <c r="AM104" s="162"/>
      <c r="AN104" s="589" t="s">
        <v>30</v>
      </c>
      <c r="AO104" s="1897"/>
      <c r="AP104" s="594"/>
      <c r="AQ104" s="594"/>
    </row>
    <row r="105" spans="1:43" ht="13.5" thickBot="1" x14ac:dyDescent="0.3">
      <c r="A105" s="742" t="s">
        <v>469</v>
      </c>
      <c r="B105" s="743"/>
      <c r="C105" s="744"/>
      <c r="D105" s="745"/>
      <c r="E105" s="746"/>
      <c r="F105" s="744"/>
      <c r="G105" s="744"/>
      <c r="H105" s="747">
        <f>+(H106*50%)+(H107*30%)+(H108*20%)</f>
        <v>1</v>
      </c>
      <c r="I105" s="748">
        <f>+SUMPRODUCT(I106:I110,X106:X110)</f>
        <v>1</v>
      </c>
      <c r="J105" s="750"/>
      <c r="K105" s="743"/>
      <c r="L105" s="749"/>
      <c r="M105" s="750"/>
      <c r="N105" s="750"/>
      <c r="O105" s="749"/>
      <c r="P105" s="749"/>
      <c r="Q105" s="749"/>
      <c r="R105" s="752"/>
      <c r="S105" s="749"/>
      <c r="T105" s="826"/>
      <c r="U105" s="754"/>
      <c r="V105" s="755">
        <f>+SUMPRODUCT(V106:V110,W106:W110)</f>
        <v>0.49992481203007522</v>
      </c>
      <c r="W105" s="747">
        <v>0.25</v>
      </c>
      <c r="X105" s="756">
        <v>0.25</v>
      </c>
      <c r="Y105" s="757">
        <f>SUM(Y106:Y110)</f>
        <v>550000000</v>
      </c>
      <c r="Z105" s="757">
        <f>SUM(Z106:Z110)</f>
        <v>12000000</v>
      </c>
      <c r="AA105" s="757">
        <f>SUM(AA106:AA110)</f>
        <v>543221928</v>
      </c>
      <c r="AB105" s="897">
        <f>+AA105/Y105</f>
        <v>0.98767623272727267</v>
      </c>
      <c r="AC105" s="757">
        <f t="shared" ref="AC105:AJ105" si="94">SUM(AC106:AC110)</f>
        <v>530000956</v>
      </c>
      <c r="AD105" s="748">
        <f t="shared" si="56"/>
        <v>0.96363810181818177</v>
      </c>
      <c r="AE105" s="928">
        <f t="shared" si="94"/>
        <v>13220972</v>
      </c>
      <c r="AF105" s="750">
        <f t="shared" si="94"/>
        <v>0</v>
      </c>
      <c r="AG105" s="757">
        <f t="shared" si="94"/>
        <v>0</v>
      </c>
      <c r="AH105" s="898" t="e">
        <f t="shared" si="94"/>
        <v>#DIV/0!</v>
      </c>
      <c r="AI105" s="757">
        <f t="shared" si="94"/>
        <v>4520000000</v>
      </c>
      <c r="AJ105" s="757">
        <f t="shared" si="94"/>
        <v>555221928</v>
      </c>
      <c r="AK105" s="747">
        <f t="shared" si="61"/>
        <v>0.12283670973451327</v>
      </c>
      <c r="AL105" s="761"/>
      <c r="AM105" s="761"/>
      <c r="AN105" s="210"/>
      <c r="AO105" s="928"/>
      <c r="AP105" s="213"/>
      <c r="AQ105" s="213"/>
    </row>
    <row r="106" spans="1:43" ht="204" x14ac:dyDescent="0.25">
      <c r="A106" s="254" t="s">
        <v>583</v>
      </c>
      <c r="B106" s="885" t="s">
        <v>774</v>
      </c>
      <c r="C106" s="895">
        <v>15</v>
      </c>
      <c r="D106" s="896">
        <v>50</v>
      </c>
      <c r="E106" s="727">
        <v>0</v>
      </c>
      <c r="F106" s="728">
        <v>50</v>
      </c>
      <c r="G106" s="728">
        <v>15</v>
      </c>
      <c r="H106" s="1592">
        <f t="shared" ref="H106" si="95">IF((E106+G106)/C106&gt;=100%,100%,(E106+G106)/C106)</f>
        <v>1</v>
      </c>
      <c r="I106" s="1597">
        <f t="shared" ref="I106" si="96">IF(F106/D106&gt;=100%,100%,F106/D106)</f>
        <v>1</v>
      </c>
      <c r="J106" s="602" t="s">
        <v>1112</v>
      </c>
      <c r="K106" s="1587"/>
      <c r="L106" s="1588"/>
      <c r="M106" s="1589"/>
      <c r="N106" s="1587"/>
      <c r="O106" s="1590"/>
      <c r="P106" s="1590"/>
      <c r="Q106" s="1590"/>
      <c r="R106" s="1591"/>
      <c r="S106" s="1590"/>
      <c r="T106" s="1628">
        <v>133</v>
      </c>
      <c r="U106" s="993">
        <f>SUM(E106:G106)</f>
        <v>65</v>
      </c>
      <c r="V106" s="1594">
        <f t="shared" ref="V106" si="97">IF(U106/T106&gt;=100%,100%,U106/T106)</f>
        <v>0.48872180451127817</v>
      </c>
      <c r="W106" s="410">
        <v>0.45</v>
      </c>
      <c r="X106" s="1651">
        <v>0.47</v>
      </c>
      <c r="Y106" s="467">
        <v>200000000</v>
      </c>
      <c r="Z106" s="280">
        <v>12000000</v>
      </c>
      <c r="AA106" s="467">
        <v>197570441</v>
      </c>
      <c r="AB106" s="1596">
        <f t="shared" si="55"/>
        <v>0.98785220500000004</v>
      </c>
      <c r="AC106" s="467">
        <v>192958473</v>
      </c>
      <c r="AD106" s="1597">
        <f t="shared" si="56"/>
        <v>0.96479236499999999</v>
      </c>
      <c r="AE106" s="1598">
        <f>+AA106-AC106</f>
        <v>4611968</v>
      </c>
      <c r="AF106" s="1539">
        <v>0</v>
      </c>
      <c r="AG106" s="279">
        <v>0</v>
      </c>
      <c r="AH106" s="1097" t="e">
        <f t="shared" si="57"/>
        <v>#DIV/0!</v>
      </c>
      <c r="AI106" s="1599">
        <v>2600000000</v>
      </c>
      <c r="AJ106" s="1599">
        <f>+SUM(Z106:AA106)</f>
        <v>209570441</v>
      </c>
      <c r="AK106" s="1592">
        <f t="shared" si="61"/>
        <v>8.0604015769230763E-2</v>
      </c>
      <c r="AL106" s="1600"/>
      <c r="AM106" s="1600"/>
      <c r="AN106" s="591" t="s">
        <v>30</v>
      </c>
      <c r="AO106" s="1772" t="s">
        <v>912</v>
      </c>
      <c r="AP106" s="595"/>
      <c r="AQ106" s="595"/>
    </row>
    <row r="107" spans="1:43" ht="204" x14ac:dyDescent="0.25">
      <c r="A107" s="255" t="s">
        <v>584</v>
      </c>
      <c r="B107" s="339" t="s">
        <v>775</v>
      </c>
      <c r="C107" s="374">
        <v>5</v>
      </c>
      <c r="D107" s="184">
        <v>20</v>
      </c>
      <c r="E107" s="182">
        <v>0</v>
      </c>
      <c r="F107" s="147">
        <v>20</v>
      </c>
      <c r="G107" s="147">
        <v>5</v>
      </c>
      <c r="H107" s="598">
        <f t="shared" ref="H107:H110" si="98">IF((E107+G107)/C107&gt;=100%,100%,(E107+G107)/C107)</f>
        <v>1</v>
      </c>
      <c r="I107" s="1096">
        <f t="shared" ref="I107:I109" si="99">IF(F107/D107&gt;=100%,100%,F107/D107)</f>
        <v>1</v>
      </c>
      <c r="J107" s="601" t="s">
        <v>1113</v>
      </c>
      <c r="K107" s="1085"/>
      <c r="L107" s="1583"/>
      <c r="M107" s="1584"/>
      <c r="N107" s="1085"/>
      <c r="O107" s="1089"/>
      <c r="P107" s="1089"/>
      <c r="Q107" s="1089"/>
      <c r="R107" s="1091"/>
      <c r="S107" s="1089"/>
      <c r="T107" s="1605">
        <v>50</v>
      </c>
      <c r="U107" s="599">
        <f>SUM(E107:G107)</f>
        <v>25</v>
      </c>
      <c r="V107" s="1594">
        <f t="shared" ref="V107:V110" si="100">IF(U107/T107&gt;=100%,100%,U107/T107)</f>
        <v>0.5</v>
      </c>
      <c r="W107" s="410">
        <v>0.25</v>
      </c>
      <c r="X107" s="1093">
        <v>0.26</v>
      </c>
      <c r="Y107" s="467">
        <v>100000000</v>
      </c>
      <c r="Z107" s="279">
        <v>0</v>
      </c>
      <c r="AA107" s="467">
        <v>99068176</v>
      </c>
      <c r="AB107" s="1095">
        <f t="shared" si="55"/>
        <v>0.99068175999999997</v>
      </c>
      <c r="AC107" s="467">
        <v>97223390</v>
      </c>
      <c r="AD107" s="1096">
        <f t="shared" si="56"/>
        <v>0.97223389999999998</v>
      </c>
      <c r="AE107" s="1601">
        <f>+AA107-AC107</f>
        <v>1844786</v>
      </c>
      <c r="AF107" s="1539">
        <v>0</v>
      </c>
      <c r="AG107" s="279">
        <v>0</v>
      </c>
      <c r="AH107" s="1097" t="e">
        <f t="shared" si="57"/>
        <v>#DIV/0!</v>
      </c>
      <c r="AI107" s="1603">
        <v>1000000000</v>
      </c>
      <c r="AJ107" s="1603">
        <f t="shared" ref="AJ107:AJ110" si="101">+SUM(Z107:AA107)</f>
        <v>99068176</v>
      </c>
      <c r="AK107" s="598">
        <f t="shared" si="61"/>
        <v>9.9068175999999994E-2</v>
      </c>
      <c r="AL107" s="1604"/>
      <c r="AM107" s="1604"/>
      <c r="AN107" s="151" t="s">
        <v>30</v>
      </c>
      <c r="AO107" s="1773" t="s">
        <v>912</v>
      </c>
      <c r="AP107" s="98"/>
      <c r="AQ107" s="98"/>
    </row>
    <row r="108" spans="1:43" ht="51" x14ac:dyDescent="0.25">
      <c r="A108" s="255" t="s">
        <v>585</v>
      </c>
      <c r="B108" s="339" t="s">
        <v>776</v>
      </c>
      <c r="C108" s="374">
        <v>1</v>
      </c>
      <c r="D108" s="184">
        <v>1</v>
      </c>
      <c r="E108" s="182">
        <v>1</v>
      </c>
      <c r="F108" s="147">
        <v>1</v>
      </c>
      <c r="G108" s="147"/>
      <c r="H108" s="598">
        <f t="shared" si="98"/>
        <v>1</v>
      </c>
      <c r="I108" s="1096">
        <f t="shared" si="99"/>
        <v>1</v>
      </c>
      <c r="J108" s="601" t="s">
        <v>970</v>
      </c>
      <c r="K108" s="1085"/>
      <c r="L108" s="1583"/>
      <c r="M108" s="1584"/>
      <c r="N108" s="1085"/>
      <c r="O108" s="1089"/>
      <c r="P108" s="1089"/>
      <c r="Q108" s="1089"/>
      <c r="R108" s="1091"/>
      <c r="S108" s="1089"/>
      <c r="T108" s="1605">
        <v>4</v>
      </c>
      <c r="U108" s="599">
        <f>SUM(E108:G108)</f>
        <v>2</v>
      </c>
      <c r="V108" s="1594">
        <f t="shared" si="100"/>
        <v>0.5</v>
      </c>
      <c r="W108" s="410">
        <v>0.15</v>
      </c>
      <c r="X108" s="1093">
        <v>0.17</v>
      </c>
      <c r="Y108" s="467">
        <v>50000000</v>
      </c>
      <c r="Z108" s="280">
        <v>0</v>
      </c>
      <c r="AA108" s="467">
        <v>49378784</v>
      </c>
      <c r="AB108" s="1095">
        <f t="shared" si="55"/>
        <v>0.98757567999999996</v>
      </c>
      <c r="AC108" s="467">
        <v>48148926</v>
      </c>
      <c r="AD108" s="1096">
        <f t="shared" si="56"/>
        <v>0.96297851999999995</v>
      </c>
      <c r="AE108" s="1601">
        <f>+AA108-AC108</f>
        <v>1229858</v>
      </c>
      <c r="AF108" s="1539">
        <v>0</v>
      </c>
      <c r="AG108" s="279">
        <v>0</v>
      </c>
      <c r="AH108" s="1097" t="e">
        <f t="shared" si="57"/>
        <v>#DIV/0!</v>
      </c>
      <c r="AI108" s="1603">
        <v>400000000</v>
      </c>
      <c r="AJ108" s="1603">
        <f t="shared" si="101"/>
        <v>49378784</v>
      </c>
      <c r="AK108" s="598">
        <f t="shared" si="61"/>
        <v>0.12344695999999999</v>
      </c>
      <c r="AL108" s="1604"/>
      <c r="AM108" s="1604"/>
      <c r="AN108" s="151" t="s">
        <v>30</v>
      </c>
      <c r="AO108" s="1905" t="s">
        <v>912</v>
      </c>
      <c r="AP108" s="98"/>
      <c r="AQ108" s="98"/>
    </row>
    <row r="109" spans="1:43" ht="51" x14ac:dyDescent="0.25">
      <c r="A109" s="256" t="s">
        <v>586</v>
      </c>
      <c r="B109" s="339" t="s">
        <v>777</v>
      </c>
      <c r="C109" s="374">
        <v>0</v>
      </c>
      <c r="D109" s="184">
        <v>1</v>
      </c>
      <c r="E109" s="182">
        <v>0</v>
      </c>
      <c r="F109" s="147">
        <v>1</v>
      </c>
      <c r="G109" s="147"/>
      <c r="H109" s="598" t="e">
        <f t="shared" si="98"/>
        <v>#DIV/0!</v>
      </c>
      <c r="I109" s="1096">
        <f t="shared" si="99"/>
        <v>1</v>
      </c>
      <c r="J109" s="601" t="s">
        <v>971</v>
      </c>
      <c r="K109" s="1085"/>
      <c r="L109" s="1583"/>
      <c r="M109" s="1584"/>
      <c r="N109" s="1085"/>
      <c r="O109" s="1089"/>
      <c r="P109" s="1089"/>
      <c r="Q109" s="1089"/>
      <c r="R109" s="1091"/>
      <c r="S109" s="1089"/>
      <c r="T109" s="1605">
        <v>1</v>
      </c>
      <c r="U109" s="599">
        <f t="shared" ref="U109:U110" si="102">SUM(E109:G109)</f>
        <v>1</v>
      </c>
      <c r="V109" s="1594">
        <f t="shared" si="100"/>
        <v>1</v>
      </c>
      <c r="W109" s="411">
        <v>0.08</v>
      </c>
      <c r="X109" s="1093">
        <v>0.1</v>
      </c>
      <c r="Y109" s="467">
        <v>200000000</v>
      </c>
      <c r="Z109" s="429" t="s">
        <v>892</v>
      </c>
      <c r="AA109" s="467">
        <v>197204527</v>
      </c>
      <c r="AB109" s="1095">
        <f t="shared" si="55"/>
        <v>0.98602263499999998</v>
      </c>
      <c r="AC109" s="467">
        <v>191670167</v>
      </c>
      <c r="AD109" s="1096">
        <f t="shared" si="56"/>
        <v>0.95835083499999996</v>
      </c>
      <c r="AE109" s="1601">
        <f>+AA109-AC109</f>
        <v>5534360</v>
      </c>
      <c r="AF109" s="1539">
        <v>0</v>
      </c>
      <c r="AG109" s="279">
        <v>0</v>
      </c>
      <c r="AH109" s="1097" t="e">
        <f t="shared" si="57"/>
        <v>#DIV/0!</v>
      </c>
      <c r="AI109" s="1603">
        <v>400000000</v>
      </c>
      <c r="AJ109" s="1603">
        <f t="shared" si="101"/>
        <v>197204527</v>
      </c>
      <c r="AK109" s="598">
        <f t="shared" si="61"/>
        <v>0.49301131749999999</v>
      </c>
      <c r="AL109" s="1604"/>
      <c r="AM109" s="1604"/>
      <c r="AN109" s="151" t="s">
        <v>30</v>
      </c>
      <c r="AO109" s="1897"/>
      <c r="AP109" s="98"/>
      <c r="AQ109" s="98"/>
    </row>
    <row r="110" spans="1:43" ht="51.75" thickBot="1" x14ac:dyDescent="0.3">
      <c r="A110" s="258" t="s">
        <v>587</v>
      </c>
      <c r="B110" s="876" t="s">
        <v>778</v>
      </c>
      <c r="C110" s="887">
        <v>0</v>
      </c>
      <c r="D110" s="888">
        <v>0</v>
      </c>
      <c r="E110" s="668">
        <v>0</v>
      </c>
      <c r="F110" s="573">
        <v>0</v>
      </c>
      <c r="G110" s="573"/>
      <c r="H110" s="894" t="e">
        <f t="shared" si="98"/>
        <v>#DIV/0!</v>
      </c>
      <c r="I110" s="1104">
        <v>0</v>
      </c>
      <c r="J110" s="603" t="s">
        <v>971</v>
      </c>
      <c r="K110" s="1640"/>
      <c r="L110" s="1641"/>
      <c r="M110" s="1642"/>
      <c r="N110" s="1640"/>
      <c r="O110" s="1098"/>
      <c r="P110" s="1098"/>
      <c r="Q110" s="1098"/>
      <c r="R110" s="1643"/>
      <c r="S110" s="1098"/>
      <c r="T110" s="1607">
        <v>1</v>
      </c>
      <c r="U110" s="935">
        <f t="shared" si="102"/>
        <v>0</v>
      </c>
      <c r="V110" s="1608">
        <f t="shared" si="100"/>
        <v>0</v>
      </c>
      <c r="W110" s="889">
        <v>7.0000000000000007E-2</v>
      </c>
      <c r="X110" s="1655">
        <v>0</v>
      </c>
      <c r="Y110" s="890" t="s">
        <v>892</v>
      </c>
      <c r="Z110" s="890" t="s">
        <v>892</v>
      </c>
      <c r="AA110" s="890" t="s">
        <v>892</v>
      </c>
      <c r="AB110" s="1610" t="e">
        <f t="shared" si="55"/>
        <v>#DIV/0!</v>
      </c>
      <c r="AC110" s="890" t="s">
        <v>892</v>
      </c>
      <c r="AD110" s="935" t="e">
        <f t="shared" si="56"/>
        <v>#DIV/0!</v>
      </c>
      <c r="AE110" s="1611"/>
      <c r="AF110" s="1540">
        <v>0</v>
      </c>
      <c r="AG110" s="891">
        <v>0</v>
      </c>
      <c r="AH110" s="1612" t="e">
        <f t="shared" si="57"/>
        <v>#DIV/0!</v>
      </c>
      <c r="AI110" s="1614">
        <v>120000000</v>
      </c>
      <c r="AJ110" s="1614">
        <f t="shared" si="101"/>
        <v>0</v>
      </c>
      <c r="AK110" s="894">
        <f t="shared" si="61"/>
        <v>0</v>
      </c>
      <c r="AL110" s="1615"/>
      <c r="AM110" s="1615"/>
      <c r="AN110" s="589" t="s">
        <v>30</v>
      </c>
      <c r="AO110" s="1897"/>
      <c r="AP110" s="594"/>
      <c r="AQ110" s="594"/>
    </row>
    <row r="111" spans="1:43" ht="13.5" thickBot="1" x14ac:dyDescent="0.3">
      <c r="A111" s="1101" t="s">
        <v>470</v>
      </c>
      <c r="B111" s="743"/>
      <c r="C111" s="744"/>
      <c r="D111" s="745"/>
      <c r="E111" s="746"/>
      <c r="F111" s="744"/>
      <c r="G111" s="744"/>
      <c r="H111" s="747">
        <f>+(H112*100%)</f>
        <v>1</v>
      </c>
      <c r="I111" s="748">
        <f>+SUMPRODUCT(I112:I113,X112:X113)</f>
        <v>1</v>
      </c>
      <c r="J111" s="750"/>
      <c r="K111" s="743"/>
      <c r="L111" s="749"/>
      <c r="M111" s="750"/>
      <c r="N111" s="750"/>
      <c r="O111" s="749"/>
      <c r="P111" s="749"/>
      <c r="Q111" s="749"/>
      <c r="R111" s="752"/>
      <c r="S111" s="749"/>
      <c r="T111" s="826"/>
      <c r="U111" s="754"/>
      <c r="V111" s="755">
        <f>+SUMPRODUCT(V112:V113,W112:W113)</f>
        <v>0.41818181818181815</v>
      </c>
      <c r="W111" s="747">
        <v>0.25</v>
      </c>
      <c r="X111" s="756">
        <v>0.25</v>
      </c>
      <c r="Y111" s="757">
        <f>SUM(Y112:Y113)</f>
        <v>850000000</v>
      </c>
      <c r="Z111" s="757">
        <f>SUM(Z112:Z113)</f>
        <v>0</v>
      </c>
      <c r="AA111" s="757">
        <f>SUM(AA112:AA113)</f>
        <v>839271646</v>
      </c>
      <c r="AB111" s="758">
        <f t="shared" si="55"/>
        <v>0.98737840705882352</v>
      </c>
      <c r="AC111" s="757">
        <f>SUM(AC112:AC113)</f>
        <v>707325355</v>
      </c>
      <c r="AD111" s="748">
        <f t="shared" si="56"/>
        <v>0.83214747647058829</v>
      </c>
      <c r="AE111" s="928">
        <f>SUM(AE112:AE113)</f>
        <v>131946291</v>
      </c>
      <c r="AF111" s="750">
        <f>SUM(AF112:AF113)</f>
        <v>0</v>
      </c>
      <c r="AG111" s="757">
        <f>SUM(AG112:AG113)</f>
        <v>0</v>
      </c>
      <c r="AH111" s="760" t="e">
        <f t="shared" si="57"/>
        <v>#DIV/0!</v>
      </c>
      <c r="AI111" s="757">
        <f>SUM(AI112:AI113)</f>
        <v>3530000000</v>
      </c>
      <c r="AJ111" s="757">
        <f t="shared" ref="AJ111" si="103">SUM(AJ112:AJ113)</f>
        <v>839271646</v>
      </c>
      <c r="AK111" s="747">
        <f t="shared" si="61"/>
        <v>0.23775400736543909</v>
      </c>
      <c r="AL111" s="761"/>
      <c r="AM111" s="761"/>
      <c r="AN111" s="210"/>
      <c r="AO111" s="928"/>
      <c r="AP111" s="213"/>
      <c r="AQ111" s="213"/>
    </row>
    <row r="112" spans="1:43" ht="204" x14ac:dyDescent="0.25">
      <c r="A112" s="597" t="s">
        <v>588</v>
      </c>
      <c r="B112" s="885" t="s">
        <v>779</v>
      </c>
      <c r="C112" s="373">
        <v>5</v>
      </c>
      <c r="D112" s="307">
        <v>10</v>
      </c>
      <c r="E112" s="727">
        <v>0</v>
      </c>
      <c r="F112" s="728">
        <v>10</v>
      </c>
      <c r="G112" s="728">
        <v>5</v>
      </c>
      <c r="H112" s="729">
        <f t="shared" ref="H112" si="104">IF((E112+G112)/C112&gt;=100%,100%,(E112+G112)/C112)</f>
        <v>1</v>
      </c>
      <c r="I112" s="730">
        <f t="shared" ref="I112" si="105">IF(F112/D112&gt;=100%,100%,F112/D112)</f>
        <v>1</v>
      </c>
      <c r="J112" s="602" t="s">
        <v>1114</v>
      </c>
      <c r="K112" s="1587"/>
      <c r="L112" s="1588"/>
      <c r="M112" s="1589"/>
      <c r="N112" s="1587"/>
      <c r="O112" s="1590"/>
      <c r="P112" s="1590"/>
      <c r="Q112" s="1590"/>
      <c r="R112" s="1591"/>
      <c r="S112" s="1590"/>
      <c r="T112" s="1628">
        <v>33</v>
      </c>
      <c r="U112" s="993">
        <f>SUM(E112:G112)</f>
        <v>15</v>
      </c>
      <c r="V112" s="1594">
        <f t="shared" ref="V112" si="106">IF(U112/T112&gt;=100%,100%,U112/T112)</f>
        <v>0.45454545454545453</v>
      </c>
      <c r="W112" s="1650">
        <v>0.7</v>
      </c>
      <c r="X112" s="1672">
        <v>0.7</v>
      </c>
      <c r="Y112" s="465">
        <v>500000000</v>
      </c>
      <c r="Z112" s="280">
        <v>0</v>
      </c>
      <c r="AA112" s="465">
        <v>493930767</v>
      </c>
      <c r="AB112" s="1596">
        <f t="shared" si="55"/>
        <v>0.98786153399999999</v>
      </c>
      <c r="AC112" s="465">
        <v>371208408</v>
      </c>
      <c r="AD112" s="1597">
        <f t="shared" si="56"/>
        <v>0.74241681599999998</v>
      </c>
      <c r="AE112" s="1598">
        <f>+AA112-AC112</f>
        <v>122722359</v>
      </c>
      <c r="AF112" s="1541">
        <v>0</v>
      </c>
      <c r="AG112" s="280">
        <v>0</v>
      </c>
      <c r="AH112" s="1097" t="e">
        <f t="shared" si="57"/>
        <v>#DIV/0!</v>
      </c>
      <c r="AI112" s="1599">
        <v>2480000000</v>
      </c>
      <c r="AJ112" s="1599">
        <f>+SUM(Z112:AA112)</f>
        <v>493930767</v>
      </c>
      <c r="AK112" s="1592">
        <f t="shared" si="61"/>
        <v>0.19916563185483871</v>
      </c>
      <c r="AL112" s="1600"/>
      <c r="AM112" s="1600"/>
      <c r="AN112" s="591" t="s">
        <v>30</v>
      </c>
      <c r="AO112" s="1774" t="s">
        <v>912</v>
      </c>
      <c r="AP112" s="595"/>
      <c r="AQ112" s="595"/>
    </row>
    <row r="113" spans="1:43" ht="204.75" thickBot="1" x14ac:dyDescent="0.3">
      <c r="A113" s="881" t="s">
        <v>589</v>
      </c>
      <c r="B113" s="876" t="s">
        <v>780</v>
      </c>
      <c r="C113" s="882">
        <v>0</v>
      </c>
      <c r="D113" s="883">
        <v>110</v>
      </c>
      <c r="E113" s="668">
        <v>0</v>
      </c>
      <c r="F113" s="573">
        <v>110</v>
      </c>
      <c r="G113" s="573"/>
      <c r="H113" s="561" t="e">
        <f t="shared" ref="H113" si="107">IF((E113+G113)/C113&gt;=100%,100%,(E113+G113)/C113)</f>
        <v>#DIV/0!</v>
      </c>
      <c r="I113" s="557">
        <f t="shared" ref="I113" si="108">IF(F113/D113&gt;=100%,100%,F113/D113)</f>
        <v>1</v>
      </c>
      <c r="J113" s="603" t="s">
        <v>972</v>
      </c>
      <c r="K113" s="1640"/>
      <c r="L113" s="1641"/>
      <c r="M113" s="1642"/>
      <c r="N113" s="1640"/>
      <c r="O113" s="1098"/>
      <c r="P113" s="1098"/>
      <c r="Q113" s="1098"/>
      <c r="R113" s="1643"/>
      <c r="S113" s="1098"/>
      <c r="T113" s="1607">
        <v>330</v>
      </c>
      <c r="U113" s="935">
        <f>SUM(E113:G113)</f>
        <v>110</v>
      </c>
      <c r="V113" s="1608">
        <f t="shared" ref="V113" si="109">IF(U113/T113&gt;=100%,100%,U113/T113)</f>
        <v>0.33333333333333331</v>
      </c>
      <c r="W113" s="1654">
        <v>0.3</v>
      </c>
      <c r="X113" s="1673">
        <v>0.3</v>
      </c>
      <c r="Y113" s="836">
        <v>350000000</v>
      </c>
      <c r="Z113" s="884" t="s">
        <v>892</v>
      </c>
      <c r="AA113" s="836">
        <v>345340879</v>
      </c>
      <c r="AB113" s="1610">
        <f t="shared" si="55"/>
        <v>0.98668822571428572</v>
      </c>
      <c r="AC113" s="836">
        <v>336116947</v>
      </c>
      <c r="AD113" s="1104">
        <f t="shared" si="56"/>
        <v>0.96033413428571424</v>
      </c>
      <c r="AE113" s="1611">
        <f>+AA113-AC113</f>
        <v>9223932</v>
      </c>
      <c r="AF113" s="1542">
        <v>0</v>
      </c>
      <c r="AG113" s="843">
        <v>0</v>
      </c>
      <c r="AH113" s="1612" t="e">
        <f t="shared" si="57"/>
        <v>#DIV/0!</v>
      </c>
      <c r="AI113" s="1614">
        <v>1050000000</v>
      </c>
      <c r="AJ113" s="1614">
        <f>+SUM(Z113:AA113)</f>
        <v>345340879</v>
      </c>
      <c r="AK113" s="894">
        <f t="shared" si="61"/>
        <v>0.32889607523809522</v>
      </c>
      <c r="AL113" s="1615"/>
      <c r="AM113" s="1615"/>
      <c r="AN113" s="589" t="s">
        <v>22</v>
      </c>
      <c r="AO113" s="1775" t="s">
        <v>912</v>
      </c>
      <c r="AP113" s="594"/>
      <c r="AQ113" s="594"/>
    </row>
    <row r="114" spans="1:43" ht="26.25" thickBot="1" x14ac:dyDescent="0.3">
      <c r="A114" s="1101" t="s">
        <v>471</v>
      </c>
      <c r="B114" s="743"/>
      <c r="C114" s="744"/>
      <c r="D114" s="745"/>
      <c r="E114" s="886"/>
      <c r="F114" s="744"/>
      <c r="G114" s="744"/>
      <c r="H114" s="747">
        <f>+SUMPRODUCT(H115:H116,W115:W116)</f>
        <v>0</v>
      </c>
      <c r="I114" s="748">
        <f>+SUMPRODUCT(I115:I116,X115:X116)</f>
        <v>0.75</v>
      </c>
      <c r="J114" s="750"/>
      <c r="K114" s="743"/>
      <c r="L114" s="749"/>
      <c r="M114" s="750"/>
      <c r="N114" s="750"/>
      <c r="O114" s="749"/>
      <c r="P114" s="749"/>
      <c r="Q114" s="749"/>
      <c r="R114" s="752"/>
      <c r="S114" s="749"/>
      <c r="T114" s="826"/>
      <c r="U114" s="754"/>
      <c r="V114" s="755">
        <f>+SUMPRODUCT(V115:V116,W115:W116)</f>
        <v>0.41165413533834588</v>
      </c>
      <c r="W114" s="747">
        <v>0.25</v>
      </c>
      <c r="X114" s="756">
        <v>0.25</v>
      </c>
      <c r="Y114" s="757">
        <f>SUM(Y115:Y116)</f>
        <v>620000000</v>
      </c>
      <c r="Z114" s="757">
        <f>SUM(Z115:Z116)</f>
        <v>774538631</v>
      </c>
      <c r="AA114" s="757">
        <f>SUM(AA115:AA116)</f>
        <v>611768885</v>
      </c>
      <c r="AB114" s="758">
        <f t="shared" si="55"/>
        <v>0.9867240080645161</v>
      </c>
      <c r="AC114" s="757">
        <f>SUM(AC115:AC116)</f>
        <v>453723271</v>
      </c>
      <c r="AD114" s="748">
        <f t="shared" si="56"/>
        <v>0.73181172741935485</v>
      </c>
      <c r="AE114" s="928">
        <f>SUM(AE115:AE116)</f>
        <v>158045614</v>
      </c>
      <c r="AF114" s="210">
        <f>SUM(AF115:AF116)</f>
        <v>38664523</v>
      </c>
      <c r="AG114" s="759">
        <f>SUM(AG115:AG116)</f>
        <v>35671583</v>
      </c>
      <c r="AH114" s="760">
        <f t="shared" si="57"/>
        <v>0.92259208784238722</v>
      </c>
      <c r="AI114" s="757">
        <f t="shared" ref="AI114:AJ114" si="110">SUM(AI115:AI116)</f>
        <v>3240000000</v>
      </c>
      <c r="AJ114" s="757">
        <f t="shared" si="110"/>
        <v>1386307516</v>
      </c>
      <c r="AK114" s="747">
        <f t="shared" si="61"/>
        <v>0.4278726901234568</v>
      </c>
      <c r="AL114" s="761"/>
      <c r="AM114" s="761"/>
      <c r="AN114" s="210"/>
      <c r="AO114" s="928"/>
      <c r="AP114" s="213"/>
      <c r="AQ114" s="213"/>
    </row>
    <row r="115" spans="1:43" ht="127.5" x14ac:dyDescent="0.25">
      <c r="A115" s="1102" t="s">
        <v>590</v>
      </c>
      <c r="B115" s="885" t="s">
        <v>781</v>
      </c>
      <c r="C115" s="294">
        <v>2</v>
      </c>
      <c r="D115" s="308">
        <v>2</v>
      </c>
      <c r="E115" s="727">
        <v>0</v>
      </c>
      <c r="F115" s="728">
        <v>0</v>
      </c>
      <c r="G115" s="728">
        <v>0</v>
      </c>
      <c r="H115" s="729">
        <f t="shared" ref="H115" si="111">IF((E115+G115)/C115&gt;=100%,100%,(E115+G115)/C115)</f>
        <v>0</v>
      </c>
      <c r="I115" s="730">
        <f t="shared" ref="I115" si="112">IF(F115/D115&gt;=100%,100%,F115/D115)</f>
        <v>0</v>
      </c>
      <c r="J115" s="602" t="s">
        <v>1115</v>
      </c>
      <c r="K115" s="1587"/>
      <c r="L115" s="1588"/>
      <c r="M115" s="1589"/>
      <c r="N115" s="1587"/>
      <c r="O115" s="1590"/>
      <c r="P115" s="1590"/>
      <c r="Q115" s="1590"/>
      <c r="R115" s="1591"/>
      <c r="S115" s="1590"/>
      <c r="T115" s="1628">
        <v>7</v>
      </c>
      <c r="U115" s="993">
        <f>SUM(E115:G115)</f>
        <v>0</v>
      </c>
      <c r="V115" s="1594">
        <f t="shared" ref="V115" si="113">IF(U115/T115&gt;=100%,100%,U115/T115)</f>
        <v>0</v>
      </c>
      <c r="W115" s="1650">
        <v>0.25</v>
      </c>
      <c r="X115" s="1672">
        <v>0.25</v>
      </c>
      <c r="Y115" s="468">
        <v>200000000</v>
      </c>
      <c r="Z115" s="281">
        <v>774538631</v>
      </c>
      <c r="AA115" s="468">
        <v>197204527</v>
      </c>
      <c r="AB115" s="1596">
        <f t="shared" si="55"/>
        <v>0.98602263499999998</v>
      </c>
      <c r="AC115" s="468">
        <v>151420167</v>
      </c>
      <c r="AD115" s="1597">
        <f t="shared" si="56"/>
        <v>0.75710083500000003</v>
      </c>
      <c r="AE115" s="1598">
        <f>+AA115-AC115</f>
        <v>45784360</v>
      </c>
      <c r="AF115" s="1543">
        <v>38664523</v>
      </c>
      <c r="AG115" s="281">
        <v>35671583</v>
      </c>
      <c r="AH115" s="1097">
        <f t="shared" si="57"/>
        <v>0.92259208784238722</v>
      </c>
      <c r="AI115" s="1599">
        <v>840000000</v>
      </c>
      <c r="AJ115" s="1599">
        <f t="shared" ref="AJ115:AJ116" si="114">+SUM(Z115:AA115)</f>
        <v>971743158</v>
      </c>
      <c r="AK115" s="1597">
        <f t="shared" si="61"/>
        <v>1.1568370928571428</v>
      </c>
      <c r="AL115" s="1600"/>
      <c r="AM115" s="171"/>
      <c r="AN115" s="591" t="s">
        <v>30</v>
      </c>
      <c r="AO115" s="1906" t="s">
        <v>910</v>
      </c>
      <c r="AP115" s="595"/>
      <c r="AQ115" s="595"/>
    </row>
    <row r="116" spans="1:43" ht="64.5" thickBot="1" x14ac:dyDescent="0.3">
      <c r="A116" s="875" t="s">
        <v>591</v>
      </c>
      <c r="B116" s="876" t="s">
        <v>782</v>
      </c>
      <c r="C116" s="877">
        <v>25</v>
      </c>
      <c r="D116" s="878">
        <v>73</v>
      </c>
      <c r="E116" s="668">
        <v>0</v>
      </c>
      <c r="F116" s="573">
        <v>73</v>
      </c>
      <c r="G116" s="573">
        <v>0</v>
      </c>
      <c r="H116" s="561">
        <f t="shared" ref="H116" si="115">IF((E116+G116)/C116&gt;=100%,100%,(E116+G116)/C116)</f>
        <v>0</v>
      </c>
      <c r="I116" s="557">
        <f t="shared" ref="I116" si="116">IF(F116/D116&gt;=100%,100%,F116/D116)</f>
        <v>1</v>
      </c>
      <c r="J116" s="603" t="s">
        <v>973</v>
      </c>
      <c r="K116" s="1640"/>
      <c r="L116" s="1641"/>
      <c r="M116" s="1642"/>
      <c r="N116" s="1640"/>
      <c r="O116" s="1098"/>
      <c r="P116" s="1098"/>
      <c r="Q116" s="1098"/>
      <c r="R116" s="1643"/>
      <c r="S116" s="1098"/>
      <c r="T116" s="1607">
        <v>133</v>
      </c>
      <c r="U116" s="935">
        <f>SUM(E116:G116)</f>
        <v>73</v>
      </c>
      <c r="V116" s="1608">
        <f t="shared" ref="V116" si="117">IF(U116/T116&gt;=100%,100%,U116/T116)</f>
        <v>0.54887218045112784</v>
      </c>
      <c r="W116" s="1654">
        <v>0.75</v>
      </c>
      <c r="X116" s="1673">
        <v>0.75</v>
      </c>
      <c r="Y116" s="879">
        <v>420000000</v>
      </c>
      <c r="Z116" s="880">
        <v>0</v>
      </c>
      <c r="AA116" s="879">
        <v>414564358</v>
      </c>
      <c r="AB116" s="1610">
        <f t="shared" si="55"/>
        <v>0.98705799523809523</v>
      </c>
      <c r="AC116" s="879">
        <v>302303104</v>
      </c>
      <c r="AD116" s="1104">
        <f t="shared" si="56"/>
        <v>0.71976929523809519</v>
      </c>
      <c r="AE116" s="1611">
        <f>+AA116-AC116</f>
        <v>112261254</v>
      </c>
      <c r="AF116" s="1544">
        <v>0</v>
      </c>
      <c r="AG116" s="880">
        <v>0</v>
      </c>
      <c r="AH116" s="1612" t="e">
        <f t="shared" si="57"/>
        <v>#DIV/0!</v>
      </c>
      <c r="AI116" s="1614">
        <v>2400000000</v>
      </c>
      <c r="AJ116" s="1614">
        <f t="shared" si="114"/>
        <v>414564358</v>
      </c>
      <c r="AK116" s="894">
        <f t="shared" si="61"/>
        <v>0.17273514916666666</v>
      </c>
      <c r="AL116" s="1615"/>
      <c r="AM116" s="162"/>
      <c r="AN116" s="589" t="s">
        <v>22</v>
      </c>
      <c r="AO116" s="1897"/>
      <c r="AP116" s="594"/>
      <c r="AQ116" s="594"/>
    </row>
    <row r="117" spans="1:43" s="554" customFormat="1" ht="26.25" thickBot="1" x14ac:dyDescent="0.3">
      <c r="A117" s="628" t="s">
        <v>433</v>
      </c>
      <c r="B117" s="629"/>
      <c r="C117" s="630"/>
      <c r="D117" s="631"/>
      <c r="E117" s="632"/>
      <c r="F117" s="630"/>
      <c r="G117" s="630"/>
      <c r="H117" s="633">
        <f>+(H118*W118)+(H121*W121)+(H125*W125)+(H132*W132)</f>
        <v>1</v>
      </c>
      <c r="I117" s="644">
        <f>+(I118*X118)+(I121*X121)+(I125*X125)+(I132*X132)</f>
        <v>1</v>
      </c>
      <c r="J117" s="637"/>
      <c r="K117" s="629"/>
      <c r="L117" s="636"/>
      <c r="M117" s="637"/>
      <c r="N117" s="637"/>
      <c r="O117" s="636"/>
      <c r="P117" s="636"/>
      <c r="Q117" s="636"/>
      <c r="R117" s="639"/>
      <c r="S117" s="636"/>
      <c r="T117" s="838"/>
      <c r="U117" s="641"/>
      <c r="V117" s="680">
        <f>+(V118*W118)+(V121*W121)+(V125*W125)+(V132*W132)</f>
        <v>0.54619318181818188</v>
      </c>
      <c r="W117" s="646">
        <v>0.35</v>
      </c>
      <c r="X117" s="657">
        <v>0.35</v>
      </c>
      <c r="Y117" s="642">
        <f>+Y118+Y121+Y125+Y132</f>
        <v>1485000000</v>
      </c>
      <c r="Z117" s="642">
        <f>+Z118+Z121+Z125+Z132</f>
        <v>874500000</v>
      </c>
      <c r="AA117" s="642">
        <f>+AA118+AA121+AA125+AA132</f>
        <v>1463313971.6800001</v>
      </c>
      <c r="AB117" s="643">
        <f t="shared" si="55"/>
        <v>0.98539661392592592</v>
      </c>
      <c r="AC117" s="642">
        <f>+AC118+AC121+AC125+AC132</f>
        <v>1300268561</v>
      </c>
      <c r="AD117" s="644">
        <f t="shared" si="56"/>
        <v>0.87560172457912455</v>
      </c>
      <c r="AE117" s="629">
        <f>+AE118+AE121+AE125+AE132</f>
        <v>163045410.68000001</v>
      </c>
      <c r="AF117" s="637">
        <f>+AF118+AF121+AF125+AF132</f>
        <v>780000000</v>
      </c>
      <c r="AG117" s="642">
        <f>+AG118+AG121+AG125+AG132</f>
        <v>692000000</v>
      </c>
      <c r="AH117" s="645">
        <f t="shared" si="57"/>
        <v>0.88717948717948714</v>
      </c>
      <c r="AI117" s="642">
        <f t="shared" ref="AI117:AJ117" si="118">+AI118+AI121+AI125+AI132</f>
        <v>8610000000</v>
      </c>
      <c r="AJ117" s="642">
        <f t="shared" si="118"/>
        <v>2337813971.6799998</v>
      </c>
      <c r="AK117" s="646">
        <f t="shared" si="61"/>
        <v>0.27152310937049939</v>
      </c>
      <c r="AL117" s="636"/>
      <c r="AM117" s="636" t="s">
        <v>300</v>
      </c>
      <c r="AN117" s="637"/>
      <c r="AO117" s="629"/>
      <c r="AP117" s="634"/>
      <c r="AQ117" s="634"/>
    </row>
    <row r="118" spans="1:43" ht="13.5" thickBot="1" x14ac:dyDescent="0.3">
      <c r="A118" s="742" t="s">
        <v>472</v>
      </c>
      <c r="B118" s="743"/>
      <c r="C118" s="744"/>
      <c r="D118" s="745"/>
      <c r="E118" s="746"/>
      <c r="F118" s="744"/>
      <c r="G118" s="744"/>
      <c r="H118" s="747">
        <f>+(H119*100%)</f>
        <v>1</v>
      </c>
      <c r="I118" s="748">
        <f>+SUMPRODUCT(I119:I120,X119:X120)</f>
        <v>1</v>
      </c>
      <c r="J118" s="750"/>
      <c r="K118" s="743"/>
      <c r="L118" s="749"/>
      <c r="M118" s="750"/>
      <c r="N118" s="750"/>
      <c r="O118" s="749"/>
      <c r="P118" s="749"/>
      <c r="Q118" s="749"/>
      <c r="R118" s="752"/>
      <c r="S118" s="749"/>
      <c r="T118" s="826"/>
      <c r="U118" s="754"/>
      <c r="V118" s="755">
        <f>+SUMPRODUCT(V119:V120,W119:W120)</f>
        <v>0.72727272727272729</v>
      </c>
      <c r="W118" s="747">
        <v>0.25</v>
      </c>
      <c r="X118" s="756">
        <v>0.25</v>
      </c>
      <c r="Y118" s="757">
        <f>SUM(Y119:Y120)</f>
        <v>475000000</v>
      </c>
      <c r="Z118" s="757">
        <f>SUM(Z119:Z120)</f>
        <v>94500000</v>
      </c>
      <c r="AA118" s="757">
        <f>SUM(AA119:AA120)</f>
        <v>467921845</v>
      </c>
      <c r="AB118" s="758">
        <f t="shared" si="55"/>
        <v>0.98509862105263157</v>
      </c>
      <c r="AC118" s="757">
        <f>SUM(AC119:AC120)</f>
        <v>452912348</v>
      </c>
      <c r="AD118" s="748">
        <f t="shared" si="56"/>
        <v>0.95349967999999996</v>
      </c>
      <c r="AE118" s="928">
        <f>SUM(AE119:AE120)</f>
        <v>15009497</v>
      </c>
      <c r="AF118" s="750">
        <f>SUM(AF119:AF120)</f>
        <v>12000000</v>
      </c>
      <c r="AG118" s="757">
        <f>SUM(AG119:AG120)</f>
        <v>12000000</v>
      </c>
      <c r="AH118" s="760">
        <f t="shared" si="57"/>
        <v>1</v>
      </c>
      <c r="AI118" s="759">
        <f t="shared" ref="AI118:AJ118" si="119">SUM(AI119:AI120)</f>
        <v>2000000000</v>
      </c>
      <c r="AJ118" s="759">
        <f t="shared" si="119"/>
        <v>562421845</v>
      </c>
      <c r="AK118" s="747">
        <f t="shared" si="61"/>
        <v>0.28121092250000002</v>
      </c>
      <c r="AL118" s="761"/>
      <c r="AM118" s="761"/>
      <c r="AN118" s="210"/>
      <c r="AO118" s="928"/>
      <c r="AP118" s="213"/>
      <c r="AQ118" s="213"/>
    </row>
    <row r="119" spans="1:43" ht="204" x14ac:dyDescent="0.25">
      <c r="A119" s="257" t="s">
        <v>592</v>
      </c>
      <c r="B119" s="345" t="s">
        <v>783</v>
      </c>
      <c r="C119" s="872">
        <v>1</v>
      </c>
      <c r="D119" s="399">
        <v>1</v>
      </c>
      <c r="E119" s="873">
        <v>1</v>
      </c>
      <c r="F119" s="792">
        <v>1</v>
      </c>
      <c r="G119" s="728"/>
      <c r="H119" s="729">
        <f t="shared" ref="H119" si="120">IF((E119+G119)/C119&gt;=100%,100%,(E119+G119)/C119)</f>
        <v>1</v>
      </c>
      <c r="I119" s="730">
        <f t="shared" ref="I119" si="121">IF(F119/D119&gt;=100%,100%,F119/D119)</f>
        <v>1</v>
      </c>
      <c r="J119" s="591" t="s">
        <v>974</v>
      </c>
      <c r="K119" s="585"/>
      <c r="L119" s="731"/>
      <c r="M119" s="732"/>
      <c r="N119" s="585"/>
      <c r="O119" s="176"/>
      <c r="P119" s="176"/>
      <c r="Q119" s="176"/>
      <c r="R119" s="734"/>
      <c r="S119" s="176"/>
      <c r="T119" s="874">
        <v>1</v>
      </c>
      <c r="U119" s="736">
        <f>SUM(E119:G119)</f>
        <v>2</v>
      </c>
      <c r="V119" s="170">
        <f>IF(U119/T119&gt;=100%,100%,U119/T119)</f>
        <v>1</v>
      </c>
      <c r="W119" s="820">
        <v>0.5</v>
      </c>
      <c r="X119" s="868">
        <v>0.5</v>
      </c>
      <c r="Y119" s="469">
        <v>250000000</v>
      </c>
      <c r="Z119" s="282">
        <v>94500000</v>
      </c>
      <c r="AA119" s="282">
        <v>246583312</v>
      </c>
      <c r="AB119" s="738">
        <f t="shared" si="55"/>
        <v>0.986333248</v>
      </c>
      <c r="AC119" s="282">
        <v>238819095</v>
      </c>
      <c r="AD119" s="730">
        <f t="shared" si="56"/>
        <v>0.95527638000000004</v>
      </c>
      <c r="AE119" s="773">
        <f>+AA119-AC119</f>
        <v>7764217</v>
      </c>
      <c r="AF119" s="1545">
        <v>12000000</v>
      </c>
      <c r="AG119" s="282">
        <v>12000000</v>
      </c>
      <c r="AH119" s="506">
        <f t="shared" si="57"/>
        <v>1</v>
      </c>
      <c r="AI119" s="740">
        <v>1000000000</v>
      </c>
      <c r="AJ119" s="740">
        <f>+SUM(Z119:AA119)</f>
        <v>341083312</v>
      </c>
      <c r="AK119" s="1592">
        <f t="shared" si="61"/>
        <v>0.34108331200000003</v>
      </c>
      <c r="AL119" s="171"/>
      <c r="AM119" s="171"/>
      <c r="AN119" s="591" t="s">
        <v>30</v>
      </c>
      <c r="AO119" s="1776" t="s">
        <v>912</v>
      </c>
      <c r="AP119" s="595"/>
      <c r="AQ119" s="595"/>
    </row>
    <row r="120" spans="1:43" ht="204.75" thickBot="1" x14ac:dyDescent="0.3">
      <c r="A120" s="860" t="s">
        <v>593</v>
      </c>
      <c r="B120" s="861" t="s">
        <v>784</v>
      </c>
      <c r="C120" s="862">
        <v>0</v>
      </c>
      <c r="D120" s="863">
        <v>10</v>
      </c>
      <c r="E120" s="864">
        <v>0</v>
      </c>
      <c r="F120" s="668">
        <v>10</v>
      </c>
      <c r="G120" s="573"/>
      <c r="H120" s="561" t="e">
        <f t="shared" ref="H120" si="122">IF((E120+G120)/C120&gt;=100%,100%,(E120+G120)/C120)</f>
        <v>#DIV/0!</v>
      </c>
      <c r="I120" s="557">
        <f t="shared" ref="I120" si="123">IF(F120/D120&gt;=100%,100%,F120/D120)</f>
        <v>1</v>
      </c>
      <c r="J120" s="589" t="s">
        <v>975</v>
      </c>
      <c r="K120" s="568"/>
      <c r="L120" s="177"/>
      <c r="M120" s="178"/>
      <c r="N120" s="568"/>
      <c r="O120" s="168"/>
      <c r="P120" s="168"/>
      <c r="Q120" s="168"/>
      <c r="R120" s="574"/>
      <c r="S120" s="168"/>
      <c r="T120" s="865">
        <v>22</v>
      </c>
      <c r="U120" s="555">
        <f>SUM(E120:G120)</f>
        <v>10</v>
      </c>
      <c r="V120" s="575">
        <f>IF(U120/T120&gt;=100%,100%,U120/T120)</f>
        <v>0.45454545454545453</v>
      </c>
      <c r="W120" s="670">
        <v>0.5</v>
      </c>
      <c r="X120" s="677">
        <v>0.5</v>
      </c>
      <c r="Y120" s="866">
        <v>225000000</v>
      </c>
      <c r="Z120" s="867">
        <v>0</v>
      </c>
      <c r="AA120" s="867">
        <v>221338533</v>
      </c>
      <c r="AB120" s="580">
        <f t="shared" si="55"/>
        <v>0.98372681333333334</v>
      </c>
      <c r="AC120" s="867">
        <v>214093253</v>
      </c>
      <c r="AD120" s="557">
        <f t="shared" si="56"/>
        <v>0.95152556888888884</v>
      </c>
      <c r="AE120" s="163">
        <f>+AA120-AC120</f>
        <v>7245280</v>
      </c>
      <c r="AF120" s="1546">
        <v>0</v>
      </c>
      <c r="AG120" s="867">
        <v>0</v>
      </c>
      <c r="AH120" s="581" t="e">
        <f t="shared" si="57"/>
        <v>#DIV/0!</v>
      </c>
      <c r="AI120" s="582">
        <v>1000000000</v>
      </c>
      <c r="AJ120" s="582">
        <f>+SUM(Z120:AA120)</f>
        <v>221338533</v>
      </c>
      <c r="AK120" s="894">
        <f t="shared" si="61"/>
        <v>0.221338533</v>
      </c>
      <c r="AL120" s="162"/>
      <c r="AM120" s="162"/>
      <c r="AN120" s="589" t="s">
        <v>30</v>
      </c>
      <c r="AO120" s="1777" t="s">
        <v>912</v>
      </c>
      <c r="AP120" s="594"/>
      <c r="AQ120" s="594"/>
    </row>
    <row r="121" spans="1:43" ht="26.25" thickBot="1" x14ac:dyDescent="0.3">
      <c r="A121" s="742" t="s">
        <v>473</v>
      </c>
      <c r="B121" s="743"/>
      <c r="C121" s="744"/>
      <c r="D121" s="745"/>
      <c r="E121" s="746"/>
      <c r="F121" s="744"/>
      <c r="G121" s="744"/>
      <c r="H121" s="747">
        <f>+SUMPRODUCT(H122:H124,W122:W124)</f>
        <v>1</v>
      </c>
      <c r="I121" s="748">
        <f>+SUMPRODUCT(I122:I124,X122:X124)</f>
        <v>1</v>
      </c>
      <c r="J121" s="750"/>
      <c r="K121" s="743"/>
      <c r="L121" s="749"/>
      <c r="M121" s="750"/>
      <c r="N121" s="750"/>
      <c r="O121" s="749"/>
      <c r="P121" s="749"/>
      <c r="Q121" s="749"/>
      <c r="R121" s="752"/>
      <c r="S121" s="749"/>
      <c r="T121" s="826"/>
      <c r="U121" s="754">
        <f>SUM(E121:G121)</f>
        <v>0</v>
      </c>
      <c r="V121" s="755">
        <f>+SUMPRODUCT(V122:V124,W122:W124)</f>
        <v>0.48250000000000004</v>
      </c>
      <c r="W121" s="747">
        <v>0.25</v>
      </c>
      <c r="X121" s="756">
        <v>0.25</v>
      </c>
      <c r="Y121" s="757">
        <f>SUM(Y122:Y124)</f>
        <v>530000000</v>
      </c>
      <c r="Z121" s="757">
        <f>SUM(Z122:Z124)</f>
        <v>680000000</v>
      </c>
      <c r="AA121" s="757">
        <f>SUM(AA122:AA124)</f>
        <v>523011320</v>
      </c>
      <c r="AB121" s="758">
        <f t="shared" si="55"/>
        <v>0.98681381132075474</v>
      </c>
      <c r="AC121" s="757">
        <f>SUM(AC122:AC124)</f>
        <v>479175420</v>
      </c>
      <c r="AD121" s="748">
        <f t="shared" si="56"/>
        <v>0.90410456603773581</v>
      </c>
      <c r="AE121" s="928">
        <f>SUM(AE122:AE124)</f>
        <v>43835900</v>
      </c>
      <c r="AF121" s="750">
        <f>SUM(AF122:AF124)</f>
        <v>680000000</v>
      </c>
      <c r="AG121" s="757">
        <f>SUM(AG122:AG124)</f>
        <v>680000000</v>
      </c>
      <c r="AH121" s="760">
        <f t="shared" si="57"/>
        <v>1</v>
      </c>
      <c r="AI121" s="757">
        <f t="shared" ref="AI121:AJ121" si="124">SUM(AI122:AI124)</f>
        <v>3920000000</v>
      </c>
      <c r="AJ121" s="757">
        <f t="shared" si="124"/>
        <v>1203011320</v>
      </c>
      <c r="AK121" s="747">
        <f t="shared" si="61"/>
        <v>0.30689064285714285</v>
      </c>
      <c r="AL121" s="761"/>
      <c r="AM121" s="761"/>
      <c r="AN121" s="210"/>
      <c r="AO121" s="928"/>
      <c r="AP121" s="213"/>
      <c r="AQ121" s="213"/>
    </row>
    <row r="122" spans="1:43" ht="76.5" x14ac:dyDescent="0.25">
      <c r="A122" s="258" t="s">
        <v>594</v>
      </c>
      <c r="B122" s="859" t="s">
        <v>785</v>
      </c>
      <c r="C122" s="375">
        <v>2</v>
      </c>
      <c r="D122" s="309">
        <v>7</v>
      </c>
      <c r="E122" s="727">
        <v>0</v>
      </c>
      <c r="F122" s="728">
        <v>7</v>
      </c>
      <c r="G122" s="728">
        <v>2</v>
      </c>
      <c r="H122" s="729">
        <f t="shared" ref="H122:H124" si="125">IF((E122+G122)/C122&gt;=100%,100%,(E122+G122)/C122)</f>
        <v>1</v>
      </c>
      <c r="I122" s="730">
        <f t="shared" ref="I122:I124" si="126">IF(F122/D122&gt;=100%,100%,F122/D122)</f>
        <v>1</v>
      </c>
      <c r="J122" s="791" t="s">
        <v>976</v>
      </c>
      <c r="K122" s="783"/>
      <c r="L122" s="731"/>
      <c r="M122" s="732"/>
      <c r="N122" s="585"/>
      <c r="O122" s="824"/>
      <c r="P122" s="824"/>
      <c r="Q122" s="824"/>
      <c r="R122" s="734"/>
      <c r="S122" s="824"/>
      <c r="T122" s="817">
        <v>20</v>
      </c>
      <c r="U122" s="993">
        <f>SUM(E122:G122)</f>
        <v>9</v>
      </c>
      <c r="V122" s="170">
        <f>IF(U122/T122&gt;=100%,100%,U122/T122)</f>
        <v>0.45</v>
      </c>
      <c r="W122" s="820">
        <v>0.35</v>
      </c>
      <c r="X122" s="868">
        <v>0.35</v>
      </c>
      <c r="Y122" s="501">
        <f>350000000/2</f>
        <v>175000000</v>
      </c>
      <c r="Z122" s="869">
        <v>480000000</v>
      </c>
      <c r="AA122" s="869">
        <f>345340879/2</f>
        <v>172670439.5</v>
      </c>
      <c r="AB122" s="738">
        <f t="shared" si="55"/>
        <v>0.98668822571428572</v>
      </c>
      <c r="AC122" s="869">
        <f>306116947/2</f>
        <v>153058473.5</v>
      </c>
      <c r="AD122" s="772">
        <f t="shared" si="56"/>
        <v>0.8746198485714286</v>
      </c>
      <c r="AE122" s="773">
        <f>+AA122-AC122</f>
        <v>19611966</v>
      </c>
      <c r="AF122" s="1547">
        <f>480000000/2</f>
        <v>240000000</v>
      </c>
      <c r="AG122" s="869">
        <f>480000000/2</f>
        <v>240000000</v>
      </c>
      <c r="AH122" s="506">
        <f t="shared" si="57"/>
        <v>1</v>
      </c>
      <c r="AI122" s="740">
        <v>2800000000</v>
      </c>
      <c r="AJ122" s="1599">
        <f>+SUM(Z122:AA122)</f>
        <v>652670439.5</v>
      </c>
      <c r="AK122" s="1592">
        <f t="shared" si="61"/>
        <v>0.23309658553571427</v>
      </c>
      <c r="AL122" s="1671"/>
      <c r="AM122" s="1600"/>
      <c r="AN122" s="591" t="s">
        <v>30</v>
      </c>
      <c r="AO122" s="1907" t="s">
        <v>913</v>
      </c>
      <c r="AP122" s="595"/>
      <c r="AQ122" s="595"/>
    </row>
    <row r="123" spans="1:43" ht="102" x14ac:dyDescent="0.25">
      <c r="A123" s="256" t="s">
        <v>595</v>
      </c>
      <c r="B123" s="346" t="s">
        <v>786</v>
      </c>
      <c r="C123" s="375">
        <v>1</v>
      </c>
      <c r="D123" s="309">
        <v>1</v>
      </c>
      <c r="E123" s="182">
        <v>0</v>
      </c>
      <c r="F123" s="147">
        <v>1</v>
      </c>
      <c r="G123" s="147">
        <v>1</v>
      </c>
      <c r="H123" s="167">
        <f t="shared" si="125"/>
        <v>1</v>
      </c>
      <c r="I123" s="520">
        <f t="shared" si="126"/>
        <v>1</v>
      </c>
      <c r="J123" s="589" t="s">
        <v>977</v>
      </c>
      <c r="K123" s="568"/>
      <c r="L123" s="102"/>
      <c r="M123" s="104"/>
      <c r="N123" s="146"/>
      <c r="O123" s="168"/>
      <c r="P123" s="168"/>
      <c r="Q123" s="168"/>
      <c r="R123" s="150"/>
      <c r="S123" s="168"/>
      <c r="T123" s="192">
        <v>4</v>
      </c>
      <c r="U123" s="599">
        <f t="shared" ref="U123:U124" si="127">SUM(E123:G123)</f>
        <v>2</v>
      </c>
      <c r="V123" s="170">
        <f t="shared" ref="V123:V124" si="128">IF(U123/T123&gt;=100%,100%,U123/T123)</f>
        <v>0.5</v>
      </c>
      <c r="W123" s="188">
        <v>0.35</v>
      </c>
      <c r="X123" s="397">
        <v>0.35</v>
      </c>
      <c r="Y123" s="500">
        <f>350000000/2</f>
        <v>175000000</v>
      </c>
      <c r="Z123" s="515">
        <v>0</v>
      </c>
      <c r="AA123" s="514">
        <f>345340879/2</f>
        <v>172670439.5</v>
      </c>
      <c r="AB123" s="208">
        <f t="shared" si="55"/>
        <v>0.98668822571428572</v>
      </c>
      <c r="AC123" s="514">
        <f>306116947/2</f>
        <v>153058473.5</v>
      </c>
      <c r="AD123" s="557">
        <f t="shared" si="56"/>
        <v>0.8746198485714286</v>
      </c>
      <c r="AE123" s="154">
        <f>+AA123-AC123</f>
        <v>19611966</v>
      </c>
      <c r="AF123" s="1548">
        <f>480000000/2</f>
        <v>240000000</v>
      </c>
      <c r="AG123" s="514">
        <f>480000000/2</f>
        <v>240000000</v>
      </c>
      <c r="AH123" s="506">
        <f t="shared" si="57"/>
        <v>1</v>
      </c>
      <c r="AI123" s="198">
        <v>320000000</v>
      </c>
      <c r="AJ123" s="1603">
        <f t="shared" ref="AJ123:AJ133" si="129">+SUM(Z123:AA123)</f>
        <v>172670439.5</v>
      </c>
      <c r="AK123" s="1104">
        <f t="shared" si="61"/>
        <v>0.53959512343750005</v>
      </c>
      <c r="AL123" s="1615"/>
      <c r="AM123" s="1604"/>
      <c r="AN123" s="151" t="s">
        <v>30</v>
      </c>
      <c r="AO123" s="1898"/>
      <c r="AP123" s="98"/>
      <c r="AQ123" s="98"/>
    </row>
    <row r="124" spans="1:43" ht="77.25" thickBot="1" x14ac:dyDescent="0.3">
      <c r="A124" s="853" t="s">
        <v>596</v>
      </c>
      <c r="B124" s="347" t="s">
        <v>787</v>
      </c>
      <c r="C124" s="854">
        <v>1</v>
      </c>
      <c r="D124" s="855">
        <v>1</v>
      </c>
      <c r="E124" s="668">
        <v>0</v>
      </c>
      <c r="F124" s="573">
        <v>1</v>
      </c>
      <c r="G124" s="573">
        <v>1</v>
      </c>
      <c r="H124" s="561">
        <f t="shared" si="125"/>
        <v>1</v>
      </c>
      <c r="I124" s="557">
        <f t="shared" si="126"/>
        <v>1</v>
      </c>
      <c r="J124" s="589" t="s">
        <v>978</v>
      </c>
      <c r="K124" s="568"/>
      <c r="L124" s="177"/>
      <c r="M124" s="178"/>
      <c r="N124" s="568"/>
      <c r="O124" s="168"/>
      <c r="P124" s="168"/>
      <c r="Q124" s="168"/>
      <c r="R124" s="574"/>
      <c r="S124" s="168"/>
      <c r="T124" s="192">
        <v>4</v>
      </c>
      <c r="U124" s="935">
        <f t="shared" si="127"/>
        <v>2</v>
      </c>
      <c r="V124" s="575">
        <f t="shared" si="128"/>
        <v>0.5</v>
      </c>
      <c r="W124" s="670">
        <v>0.3</v>
      </c>
      <c r="X124" s="677">
        <v>0.3</v>
      </c>
      <c r="Y124" s="856">
        <v>180000000</v>
      </c>
      <c r="Z124" s="857">
        <v>200000000</v>
      </c>
      <c r="AA124" s="858">
        <v>177670441</v>
      </c>
      <c r="AB124" s="580">
        <f t="shared" si="55"/>
        <v>0.98705800555555556</v>
      </c>
      <c r="AC124" s="858">
        <v>173058473</v>
      </c>
      <c r="AD124" s="557">
        <f t="shared" si="56"/>
        <v>0.96143596111111107</v>
      </c>
      <c r="AE124" s="163">
        <f>+AA124-AC124</f>
        <v>4611968</v>
      </c>
      <c r="AF124" s="1549">
        <v>200000000</v>
      </c>
      <c r="AG124" s="858">
        <v>200000000</v>
      </c>
      <c r="AH124" s="581">
        <f t="shared" si="57"/>
        <v>1</v>
      </c>
      <c r="AI124" s="582">
        <v>800000000</v>
      </c>
      <c r="AJ124" s="1614">
        <f t="shared" si="129"/>
        <v>377670441</v>
      </c>
      <c r="AK124" s="894">
        <f t="shared" si="61"/>
        <v>0.47208805124999997</v>
      </c>
      <c r="AL124" s="1615"/>
      <c r="AM124" s="1615"/>
      <c r="AN124" s="589" t="s">
        <v>30</v>
      </c>
      <c r="AO124" s="1778" t="s">
        <v>895</v>
      </c>
      <c r="AP124" s="594"/>
      <c r="AQ124" s="594"/>
    </row>
    <row r="125" spans="1:43" ht="26.25" thickBot="1" x14ac:dyDescent="0.3">
      <c r="A125" s="742" t="s">
        <v>474</v>
      </c>
      <c r="B125" s="743"/>
      <c r="C125" s="744"/>
      <c r="D125" s="745"/>
      <c r="E125" s="746"/>
      <c r="F125" s="744"/>
      <c r="G125" s="744"/>
      <c r="H125" s="747">
        <f>+(H126*25%)+(H127*25%)+(H129*50%)</f>
        <v>1</v>
      </c>
      <c r="I125" s="748">
        <f>+SUMPRODUCT(I126:I131,X126:X131)</f>
        <v>1</v>
      </c>
      <c r="J125" s="750"/>
      <c r="K125" s="743"/>
      <c r="L125" s="749"/>
      <c r="M125" s="750"/>
      <c r="N125" s="750"/>
      <c r="O125" s="749"/>
      <c r="P125" s="749"/>
      <c r="Q125" s="749"/>
      <c r="R125" s="752"/>
      <c r="S125" s="749"/>
      <c r="T125" s="826"/>
      <c r="U125" s="754">
        <f>SUM(E125:F125)</f>
        <v>0</v>
      </c>
      <c r="V125" s="755">
        <f>+SUMPRODUCT(V126:V131,W126:W131)</f>
        <v>0.47499999999999998</v>
      </c>
      <c r="W125" s="747">
        <v>0.25</v>
      </c>
      <c r="X125" s="756">
        <v>0.25</v>
      </c>
      <c r="Y125" s="757">
        <f>SUM(Y126:Y131)</f>
        <v>380000000</v>
      </c>
      <c r="Z125" s="757">
        <f>SUM(Z126:Z131)</f>
        <v>100000000</v>
      </c>
      <c r="AA125" s="757">
        <f>SUM(AA126:AA131)</f>
        <v>373611664.68000001</v>
      </c>
      <c r="AB125" s="758">
        <f t="shared" si="55"/>
        <v>0.98318859126315794</v>
      </c>
      <c r="AC125" s="757">
        <f>SUM(AC126:AC131)</f>
        <v>272088917</v>
      </c>
      <c r="AD125" s="748">
        <f t="shared" si="56"/>
        <v>0.71602346578947373</v>
      </c>
      <c r="AE125" s="928">
        <f>SUM(AE126:AE131)</f>
        <v>101522747.67999999</v>
      </c>
      <c r="AF125" s="750">
        <f>SUM(AF126:AF131)</f>
        <v>88000000</v>
      </c>
      <c r="AG125" s="757">
        <f>SUM(AG126:AG131)</f>
        <v>0</v>
      </c>
      <c r="AH125" s="760">
        <f t="shared" si="57"/>
        <v>0</v>
      </c>
      <c r="AI125" s="757">
        <f t="shared" ref="AI125:AJ125" si="130">SUM(AI126:AI131)</f>
        <v>2290000000</v>
      </c>
      <c r="AJ125" s="757">
        <f t="shared" si="130"/>
        <v>473611664.68000001</v>
      </c>
      <c r="AK125" s="747">
        <f>+AJ125/AI125</f>
        <v>0.20681732082096072</v>
      </c>
      <c r="AL125" s="761"/>
      <c r="AM125" s="761"/>
      <c r="AN125" s="210"/>
      <c r="AO125" s="928"/>
      <c r="AP125" s="213"/>
      <c r="AQ125" s="213"/>
    </row>
    <row r="126" spans="1:43" ht="76.5" x14ac:dyDescent="0.25">
      <c r="A126" s="259" t="s">
        <v>597</v>
      </c>
      <c r="B126" s="859" t="s">
        <v>788</v>
      </c>
      <c r="C126" s="376">
        <v>1</v>
      </c>
      <c r="D126" s="310">
        <v>1</v>
      </c>
      <c r="E126" s="727">
        <v>1</v>
      </c>
      <c r="F126" s="728">
        <v>1</v>
      </c>
      <c r="G126" s="728"/>
      <c r="H126" s="729">
        <f t="shared" ref="H126" si="131">IF((E126+G126)/C126&gt;=100%,100%,(E126+G126)/C126)</f>
        <v>1</v>
      </c>
      <c r="I126" s="730">
        <f t="shared" ref="I126" si="132">IF(F126/D126&gt;=100%,100%,F126/D126)</f>
        <v>1</v>
      </c>
      <c r="J126" s="791" t="s">
        <v>979</v>
      </c>
      <c r="K126" s="783"/>
      <c r="L126" s="731"/>
      <c r="M126" s="732"/>
      <c r="N126" s="585"/>
      <c r="O126" s="824"/>
      <c r="P126" s="824"/>
      <c r="Q126" s="824"/>
      <c r="R126" s="734"/>
      <c r="S126" s="824"/>
      <c r="T126" s="817">
        <v>4</v>
      </c>
      <c r="U126" s="736">
        <f>SUM(E126:G126)</f>
        <v>2</v>
      </c>
      <c r="V126" s="170">
        <f t="shared" ref="V126" si="133">IF(U126/T126&gt;=100%,100%,U126/T126)</f>
        <v>0.5</v>
      </c>
      <c r="W126" s="413">
        <v>0.1</v>
      </c>
      <c r="X126" s="434">
        <v>0.1</v>
      </c>
      <c r="Y126" s="469">
        <f>110000000/2</f>
        <v>55000000</v>
      </c>
      <c r="Z126" s="515">
        <v>50000000</v>
      </c>
      <c r="AA126" s="515">
        <f>108446960/2</f>
        <v>54223480</v>
      </c>
      <c r="AB126" s="738">
        <f t="shared" si="55"/>
        <v>0.98588145454545451</v>
      </c>
      <c r="AC126" s="515">
        <f>100666859/2</f>
        <v>50333429.5</v>
      </c>
      <c r="AD126" s="772">
        <f t="shared" si="56"/>
        <v>0.91515326363636362</v>
      </c>
      <c r="AE126" s="773">
        <f t="shared" ref="AE126:AE131" si="134">+AA126-AC126</f>
        <v>3890050.5</v>
      </c>
      <c r="AF126" s="1550">
        <f>88000000/2</f>
        <v>44000000</v>
      </c>
      <c r="AG126" s="515">
        <v>0</v>
      </c>
      <c r="AH126" s="506">
        <f t="shared" si="57"/>
        <v>0</v>
      </c>
      <c r="AI126" s="740">
        <v>200000000</v>
      </c>
      <c r="AJ126" s="740">
        <f t="shared" si="129"/>
        <v>104223480</v>
      </c>
      <c r="AK126" s="772">
        <f t="shared" si="61"/>
        <v>0.52111739999999995</v>
      </c>
      <c r="AL126" s="741"/>
      <c r="AM126" s="171"/>
      <c r="AN126" s="591" t="s">
        <v>30</v>
      </c>
      <c r="AO126" s="1930" t="s">
        <v>895</v>
      </c>
      <c r="AP126" s="595"/>
      <c r="AQ126" s="595"/>
    </row>
    <row r="127" spans="1:43" ht="102" x14ac:dyDescent="0.25">
      <c r="A127" s="260" t="s">
        <v>598</v>
      </c>
      <c r="B127" s="346" t="s">
        <v>789</v>
      </c>
      <c r="C127" s="376">
        <v>1</v>
      </c>
      <c r="D127" s="310">
        <v>1</v>
      </c>
      <c r="E127" s="182">
        <v>1</v>
      </c>
      <c r="F127" s="147">
        <v>1</v>
      </c>
      <c r="G127" s="147"/>
      <c r="H127" s="167">
        <f t="shared" ref="H127:H131" si="135">IF((E127+G127)/C127&gt;=100%,100%,(E127+G127)/C127)</f>
        <v>1</v>
      </c>
      <c r="I127" s="520">
        <f t="shared" ref="I127:I131" si="136">IF(F127/D127&gt;=100%,100%,F127/D127)</f>
        <v>1</v>
      </c>
      <c r="J127" s="589" t="s">
        <v>980</v>
      </c>
      <c r="K127" s="568"/>
      <c r="L127" s="102"/>
      <c r="M127" s="104"/>
      <c r="N127" s="146"/>
      <c r="O127" s="168"/>
      <c r="P127" s="168"/>
      <c r="Q127" s="168"/>
      <c r="R127" s="150"/>
      <c r="S127" s="168"/>
      <c r="T127" s="192">
        <v>4</v>
      </c>
      <c r="U127" s="195">
        <f t="shared" ref="U127:U131" si="137">SUM(E127:G127)</f>
        <v>2</v>
      </c>
      <c r="V127" s="170">
        <f t="shared" ref="V127:V131" si="138">IF(U127/T127&gt;=100%,100%,U127/T127)</f>
        <v>0.5</v>
      </c>
      <c r="W127" s="412">
        <v>0.1</v>
      </c>
      <c r="X127" s="433">
        <v>0.1</v>
      </c>
      <c r="Y127" s="470">
        <f>110000000/2</f>
        <v>55000000</v>
      </c>
      <c r="Z127" s="513">
        <v>50000000</v>
      </c>
      <c r="AA127" s="513">
        <f>108446960/2</f>
        <v>54223480</v>
      </c>
      <c r="AB127" s="1095">
        <f t="shared" si="55"/>
        <v>0.98588145454545451</v>
      </c>
      <c r="AC127" s="513">
        <f>100666859/2</f>
        <v>50333429.5</v>
      </c>
      <c r="AD127" s="1104">
        <f t="shared" si="56"/>
        <v>0.91515326363636362</v>
      </c>
      <c r="AE127" s="1601">
        <f t="shared" si="134"/>
        <v>3890050.5</v>
      </c>
      <c r="AF127" s="1551">
        <f>88000000/2</f>
        <v>44000000</v>
      </c>
      <c r="AG127" s="513">
        <v>0</v>
      </c>
      <c r="AH127" s="1097">
        <f t="shared" si="57"/>
        <v>0</v>
      </c>
      <c r="AI127" s="1603">
        <v>200000000</v>
      </c>
      <c r="AJ127" s="1603">
        <f t="shared" si="129"/>
        <v>104223480</v>
      </c>
      <c r="AK127" s="1104">
        <f t="shared" si="61"/>
        <v>0.52111739999999995</v>
      </c>
      <c r="AL127" s="1615"/>
      <c r="AM127" s="1604"/>
      <c r="AN127" s="151" t="s">
        <v>30</v>
      </c>
      <c r="AO127" s="1898"/>
      <c r="AP127" s="98"/>
      <c r="AQ127" s="98"/>
    </row>
    <row r="128" spans="1:43" ht="140.25" x14ac:dyDescent="0.25">
      <c r="A128" s="257" t="s">
        <v>599</v>
      </c>
      <c r="B128" s="346" t="s">
        <v>790</v>
      </c>
      <c r="C128" s="376">
        <v>0</v>
      </c>
      <c r="D128" s="310">
        <v>2</v>
      </c>
      <c r="E128" s="182">
        <v>0</v>
      </c>
      <c r="F128" s="147">
        <v>2</v>
      </c>
      <c r="G128" s="147"/>
      <c r="H128" s="167" t="e">
        <f t="shared" si="135"/>
        <v>#DIV/0!</v>
      </c>
      <c r="I128" s="520">
        <f t="shared" si="136"/>
        <v>1</v>
      </c>
      <c r="J128" s="589" t="s">
        <v>981</v>
      </c>
      <c r="K128" s="568"/>
      <c r="L128" s="102"/>
      <c r="M128" s="104"/>
      <c r="N128" s="146"/>
      <c r="O128" s="168"/>
      <c r="P128" s="168"/>
      <c r="Q128" s="168"/>
      <c r="R128" s="150"/>
      <c r="S128" s="168"/>
      <c r="T128" s="192">
        <v>4</v>
      </c>
      <c r="U128" s="195">
        <f t="shared" si="137"/>
        <v>2</v>
      </c>
      <c r="V128" s="170">
        <f t="shared" si="138"/>
        <v>0.5</v>
      </c>
      <c r="W128" s="413">
        <v>0.2</v>
      </c>
      <c r="X128" s="434">
        <v>0.2</v>
      </c>
      <c r="Y128" s="470">
        <v>40000000</v>
      </c>
      <c r="Z128" s="430">
        <v>0</v>
      </c>
      <c r="AA128" s="513">
        <v>39151208.200000003</v>
      </c>
      <c r="AB128" s="1095">
        <f t="shared" si="55"/>
        <v>0.97878020500000007</v>
      </c>
      <c r="AC128" s="513">
        <v>16285692</v>
      </c>
      <c r="AD128" s="894">
        <f t="shared" si="56"/>
        <v>0.40714230000000001</v>
      </c>
      <c r="AE128" s="1601">
        <f t="shared" si="134"/>
        <v>22865516.200000003</v>
      </c>
      <c r="AF128" s="1552">
        <v>0</v>
      </c>
      <c r="AG128" s="430">
        <v>0</v>
      </c>
      <c r="AH128" s="1097" t="e">
        <f t="shared" si="57"/>
        <v>#DIV/0!</v>
      </c>
      <c r="AI128" s="1603">
        <v>160000000</v>
      </c>
      <c r="AJ128" s="1603">
        <f t="shared" si="129"/>
        <v>39151208.200000003</v>
      </c>
      <c r="AK128" s="598">
        <f t="shared" si="61"/>
        <v>0.24469505125000002</v>
      </c>
      <c r="AL128" s="1615"/>
      <c r="AM128" s="1604"/>
      <c r="AN128" s="151" t="s">
        <v>30</v>
      </c>
      <c r="AO128" s="1779" t="s">
        <v>914</v>
      </c>
      <c r="AP128" s="98"/>
      <c r="AQ128" s="98"/>
    </row>
    <row r="129" spans="1:43" ht="140.25" x14ac:dyDescent="0.25">
      <c r="A129" s="257" t="s">
        <v>600</v>
      </c>
      <c r="B129" s="346" t="s">
        <v>791</v>
      </c>
      <c r="C129" s="376">
        <v>1</v>
      </c>
      <c r="D129" s="310">
        <v>1</v>
      </c>
      <c r="E129" s="182">
        <v>1</v>
      </c>
      <c r="F129" s="147">
        <v>1</v>
      </c>
      <c r="G129" s="147"/>
      <c r="H129" s="167">
        <f t="shared" si="135"/>
        <v>1</v>
      </c>
      <c r="I129" s="520">
        <f t="shared" si="136"/>
        <v>1</v>
      </c>
      <c r="J129" s="589" t="s">
        <v>982</v>
      </c>
      <c r="K129" s="568"/>
      <c r="L129" s="102"/>
      <c r="M129" s="104"/>
      <c r="N129" s="146"/>
      <c r="O129" s="168"/>
      <c r="P129" s="168"/>
      <c r="Q129" s="168"/>
      <c r="R129" s="150"/>
      <c r="S129" s="168"/>
      <c r="T129" s="192">
        <v>4</v>
      </c>
      <c r="U129" s="195">
        <f t="shared" si="137"/>
        <v>2</v>
      </c>
      <c r="V129" s="170">
        <f t="shared" si="138"/>
        <v>0.5</v>
      </c>
      <c r="W129" s="413">
        <v>0.3</v>
      </c>
      <c r="X129" s="434">
        <v>0.3</v>
      </c>
      <c r="Y129" s="470">
        <v>50000000</v>
      </c>
      <c r="Z129" s="430">
        <v>0</v>
      </c>
      <c r="AA129" s="513">
        <v>49171138</v>
      </c>
      <c r="AB129" s="1095">
        <f t="shared" si="55"/>
        <v>0.98342275999999995</v>
      </c>
      <c r="AC129" s="513">
        <v>31442882</v>
      </c>
      <c r="AD129" s="1104">
        <f t="shared" si="56"/>
        <v>0.62885764</v>
      </c>
      <c r="AE129" s="1601">
        <f t="shared" si="134"/>
        <v>17728256</v>
      </c>
      <c r="AF129" s="1552">
        <v>0</v>
      </c>
      <c r="AG129" s="430">
        <v>0</v>
      </c>
      <c r="AH129" s="1097" t="e">
        <f t="shared" si="57"/>
        <v>#DIV/0!</v>
      </c>
      <c r="AI129" s="1603">
        <v>800000000</v>
      </c>
      <c r="AJ129" s="1603">
        <f t="shared" si="129"/>
        <v>49171138</v>
      </c>
      <c r="AK129" s="598">
        <f t="shared" si="61"/>
        <v>6.1463922499999997E-2</v>
      </c>
      <c r="AL129" s="1615"/>
      <c r="AM129" s="1604"/>
      <c r="AN129" s="151" t="s">
        <v>30</v>
      </c>
      <c r="AO129" s="1780" t="s">
        <v>895</v>
      </c>
      <c r="AP129" s="98"/>
      <c r="AQ129" s="98"/>
    </row>
    <row r="130" spans="1:43" ht="114.75" x14ac:dyDescent="0.25">
      <c r="A130" s="260" t="s">
        <v>601</v>
      </c>
      <c r="B130" s="346" t="s">
        <v>792</v>
      </c>
      <c r="C130" s="376">
        <v>0</v>
      </c>
      <c r="D130" s="310">
        <v>1</v>
      </c>
      <c r="E130" s="182">
        <v>0</v>
      </c>
      <c r="F130" s="147">
        <v>1</v>
      </c>
      <c r="G130" s="147"/>
      <c r="H130" s="167" t="e">
        <f t="shared" si="135"/>
        <v>#DIV/0!</v>
      </c>
      <c r="I130" s="520">
        <f t="shared" si="136"/>
        <v>1</v>
      </c>
      <c r="J130" s="589" t="s">
        <v>983</v>
      </c>
      <c r="K130" s="568"/>
      <c r="L130" s="102"/>
      <c r="M130" s="104"/>
      <c r="N130" s="146"/>
      <c r="O130" s="168"/>
      <c r="P130" s="168"/>
      <c r="Q130" s="168"/>
      <c r="R130" s="150"/>
      <c r="S130" s="168"/>
      <c r="T130" s="192">
        <v>2</v>
      </c>
      <c r="U130" s="195">
        <f t="shared" si="137"/>
        <v>1</v>
      </c>
      <c r="V130" s="170">
        <f t="shared" si="138"/>
        <v>0.5</v>
      </c>
      <c r="W130" s="412">
        <v>0.15</v>
      </c>
      <c r="X130" s="433">
        <v>0.15</v>
      </c>
      <c r="Y130" s="470">
        <f>180000000/2</f>
        <v>90000000</v>
      </c>
      <c r="Z130" s="430">
        <v>0</v>
      </c>
      <c r="AA130" s="513">
        <f>176842358.48/2</f>
        <v>88421179.239999995</v>
      </c>
      <c r="AB130" s="1095">
        <f t="shared" si="55"/>
        <v>0.98245754711111111</v>
      </c>
      <c r="AC130" s="513">
        <f>123693484/2</f>
        <v>61846742</v>
      </c>
      <c r="AD130" s="1104">
        <f t="shared" si="56"/>
        <v>0.68718602222222225</v>
      </c>
      <c r="AE130" s="1601">
        <f t="shared" si="134"/>
        <v>26574437.239999995</v>
      </c>
      <c r="AF130" s="1552">
        <v>0</v>
      </c>
      <c r="AG130" s="430">
        <v>0</v>
      </c>
      <c r="AH130" s="1097" t="e">
        <f t="shared" si="57"/>
        <v>#DIV/0!</v>
      </c>
      <c r="AI130" s="1603">
        <v>840000000</v>
      </c>
      <c r="AJ130" s="1603">
        <f t="shared" si="129"/>
        <v>88421179.239999995</v>
      </c>
      <c r="AK130" s="598">
        <f>+AJ130/AI130</f>
        <v>0.10526330861904762</v>
      </c>
      <c r="AL130" s="1615"/>
      <c r="AM130" s="1604"/>
      <c r="AN130" s="151" t="s">
        <v>30</v>
      </c>
      <c r="AO130" s="1931" t="s">
        <v>915</v>
      </c>
      <c r="AP130" s="98"/>
      <c r="AQ130" s="98"/>
    </row>
    <row r="131" spans="1:43" ht="77.25" thickBot="1" x14ac:dyDescent="0.3">
      <c r="A131" s="844" t="s">
        <v>602</v>
      </c>
      <c r="B131" s="347" t="s">
        <v>793</v>
      </c>
      <c r="C131" s="845">
        <v>0</v>
      </c>
      <c r="D131" s="846">
        <v>1</v>
      </c>
      <c r="E131" s="668">
        <v>0</v>
      </c>
      <c r="F131" s="573">
        <v>1</v>
      </c>
      <c r="G131" s="573"/>
      <c r="H131" s="561" t="e">
        <f t="shared" si="135"/>
        <v>#DIV/0!</v>
      </c>
      <c r="I131" s="557">
        <f t="shared" si="136"/>
        <v>1</v>
      </c>
      <c r="J131" s="589" t="s">
        <v>984</v>
      </c>
      <c r="K131" s="568"/>
      <c r="L131" s="177"/>
      <c r="M131" s="178"/>
      <c r="N131" s="568"/>
      <c r="O131" s="168"/>
      <c r="P131" s="168"/>
      <c r="Q131" s="168"/>
      <c r="R131" s="574"/>
      <c r="S131" s="168"/>
      <c r="T131" s="192">
        <v>3</v>
      </c>
      <c r="U131" s="555">
        <f t="shared" si="137"/>
        <v>1</v>
      </c>
      <c r="V131" s="575">
        <f t="shared" si="138"/>
        <v>0.33333333333333331</v>
      </c>
      <c r="W131" s="847">
        <v>0.15</v>
      </c>
      <c r="X131" s="848">
        <v>0.15</v>
      </c>
      <c r="Y131" s="849">
        <f>180000000/2</f>
        <v>90000000</v>
      </c>
      <c r="Z131" s="850">
        <v>0</v>
      </c>
      <c r="AA131" s="851">
        <f>176842358.48/2</f>
        <v>88421179.239999995</v>
      </c>
      <c r="AB131" s="580">
        <f t="shared" si="55"/>
        <v>0.98245754711111111</v>
      </c>
      <c r="AC131" s="851">
        <f>123693484/2</f>
        <v>61846742</v>
      </c>
      <c r="AD131" s="557">
        <f t="shared" si="56"/>
        <v>0.68718602222222225</v>
      </c>
      <c r="AE131" s="163">
        <f t="shared" si="134"/>
        <v>26574437.239999995</v>
      </c>
      <c r="AF131" s="1553">
        <v>0</v>
      </c>
      <c r="AG131" s="850">
        <v>0</v>
      </c>
      <c r="AH131" s="581" t="e">
        <f t="shared" si="57"/>
        <v>#DIV/0!</v>
      </c>
      <c r="AI131" s="582">
        <v>90000000</v>
      </c>
      <c r="AJ131" s="582">
        <f t="shared" si="129"/>
        <v>88421179.239999995</v>
      </c>
      <c r="AK131" s="557">
        <f>+AJ131/AI131</f>
        <v>0.98245754711111111</v>
      </c>
      <c r="AL131" s="162"/>
      <c r="AM131" s="162"/>
      <c r="AN131" s="589" t="s">
        <v>30</v>
      </c>
      <c r="AO131" s="1897"/>
      <c r="AP131" s="594"/>
      <c r="AQ131" s="594"/>
    </row>
    <row r="132" spans="1:43" ht="26.25" thickBot="1" x14ac:dyDescent="0.3">
      <c r="A132" s="1101" t="s">
        <v>475</v>
      </c>
      <c r="B132" s="743"/>
      <c r="C132" s="744"/>
      <c r="D132" s="745"/>
      <c r="E132" s="746"/>
      <c r="F132" s="744"/>
      <c r="G132" s="744"/>
      <c r="H132" s="747">
        <f>+SUMPRODUCT(H133:H133,W133:W133)</f>
        <v>1</v>
      </c>
      <c r="I132" s="748">
        <f>+SUMPRODUCT(I133:I133,X133:X133)</f>
        <v>1</v>
      </c>
      <c r="J132" s="750"/>
      <c r="K132" s="743"/>
      <c r="L132" s="749"/>
      <c r="M132" s="750"/>
      <c r="N132" s="750"/>
      <c r="O132" s="749"/>
      <c r="P132" s="749"/>
      <c r="Q132" s="749"/>
      <c r="R132" s="752"/>
      <c r="S132" s="749"/>
      <c r="T132" s="826"/>
      <c r="U132" s="754">
        <f>SUM(E132:G132)</f>
        <v>0</v>
      </c>
      <c r="V132" s="755">
        <f>+SUMPRODUCT(V133:V133,W133:W133)</f>
        <v>0.5</v>
      </c>
      <c r="W132" s="747">
        <v>0.25</v>
      </c>
      <c r="X132" s="756">
        <v>0.25</v>
      </c>
      <c r="Y132" s="757">
        <f>SUM(Y133)</f>
        <v>100000000</v>
      </c>
      <c r="Z132" s="757">
        <f>SUM(Z133)</f>
        <v>0</v>
      </c>
      <c r="AA132" s="757">
        <f>SUM(AA133)</f>
        <v>98769142</v>
      </c>
      <c r="AB132" s="758">
        <f t="shared" si="55"/>
        <v>0.98769141999999999</v>
      </c>
      <c r="AC132" s="757">
        <f>SUM(AC133)</f>
        <v>96091876</v>
      </c>
      <c r="AD132" s="748">
        <f t="shared" si="56"/>
        <v>0.96091875999999998</v>
      </c>
      <c r="AE132" s="928">
        <f>SUM(AE133)</f>
        <v>2677266</v>
      </c>
      <c r="AF132" s="750">
        <f>SUM(AF133)</f>
        <v>0</v>
      </c>
      <c r="AG132" s="757">
        <f>SUM(AG133)</f>
        <v>0</v>
      </c>
      <c r="AH132" s="760" t="e">
        <f t="shared" si="57"/>
        <v>#DIV/0!</v>
      </c>
      <c r="AI132" s="757">
        <f t="shared" ref="AI132:AJ132" si="139">SUM(AI133)</f>
        <v>400000000</v>
      </c>
      <c r="AJ132" s="757">
        <f t="shared" si="139"/>
        <v>98769142</v>
      </c>
      <c r="AK132" s="747">
        <f t="shared" ref="AK132:AK135" si="140">+AJ132/AI132</f>
        <v>0.246922855</v>
      </c>
      <c r="AL132" s="761"/>
      <c r="AM132" s="761"/>
      <c r="AN132" s="210"/>
      <c r="AO132" s="928"/>
      <c r="AP132" s="213"/>
      <c r="AQ132" s="213"/>
    </row>
    <row r="133" spans="1:43" ht="115.5" thickBot="1" x14ac:dyDescent="0.3">
      <c r="A133" s="1103" t="s">
        <v>603</v>
      </c>
      <c r="B133" s="347" t="s">
        <v>794</v>
      </c>
      <c r="C133" s="852">
        <v>1</v>
      </c>
      <c r="D133" s="829">
        <v>1</v>
      </c>
      <c r="E133" s="778">
        <v>0</v>
      </c>
      <c r="F133" s="779">
        <v>1</v>
      </c>
      <c r="G133" s="779">
        <v>1</v>
      </c>
      <c r="H133" s="780">
        <f t="shared" ref="H133" si="141">IF((E133+G133)/C133&gt;=100%,100%,(E133+G133)/C133)</f>
        <v>1</v>
      </c>
      <c r="I133" s="1674">
        <f t="shared" ref="I133" si="142">IF(F133/D133&gt;=100%,100%,F133/D133)</f>
        <v>1</v>
      </c>
      <c r="J133" s="914" t="s">
        <v>1116</v>
      </c>
      <c r="K133" s="1647"/>
      <c r="L133" s="1675"/>
      <c r="M133" s="1676"/>
      <c r="N133" s="1647"/>
      <c r="O133" s="1648"/>
      <c r="P133" s="1648"/>
      <c r="Q133" s="1648"/>
      <c r="R133" s="1677"/>
      <c r="S133" s="1648"/>
      <c r="T133" s="1649">
        <v>4</v>
      </c>
      <c r="U133" s="1678">
        <f>SUM(E133:G133)</f>
        <v>2</v>
      </c>
      <c r="V133" s="1679">
        <f t="shared" ref="V133" si="143">IF(U133/T133&gt;=100%,100%,U133/T133)</f>
        <v>0.5</v>
      </c>
      <c r="W133" s="1680">
        <v>1</v>
      </c>
      <c r="X133" s="1681">
        <v>1</v>
      </c>
      <c r="Y133" s="842">
        <v>100000000</v>
      </c>
      <c r="Z133" s="843">
        <v>0</v>
      </c>
      <c r="AA133" s="842">
        <v>98769142</v>
      </c>
      <c r="AB133" s="1682">
        <f t="shared" si="55"/>
        <v>0.98769141999999999</v>
      </c>
      <c r="AC133" s="842">
        <v>96091876</v>
      </c>
      <c r="AD133" s="1674">
        <f t="shared" si="56"/>
        <v>0.96091875999999998</v>
      </c>
      <c r="AE133" s="1653">
        <f>+AA133-AC133</f>
        <v>2677266</v>
      </c>
      <c r="AF133" s="1542">
        <v>0</v>
      </c>
      <c r="AG133" s="843">
        <v>0</v>
      </c>
      <c r="AH133" s="1612" t="e">
        <f t="shared" si="57"/>
        <v>#DIV/0!</v>
      </c>
      <c r="AI133" s="1683">
        <v>400000000</v>
      </c>
      <c r="AJ133" s="1683">
        <f t="shared" si="129"/>
        <v>98769142</v>
      </c>
      <c r="AK133" s="1652">
        <f t="shared" si="140"/>
        <v>0.246922855</v>
      </c>
      <c r="AL133" s="1671"/>
      <c r="AM133" s="741"/>
      <c r="AN133" s="791" t="s">
        <v>30</v>
      </c>
      <c r="AO133" s="1781" t="s">
        <v>916</v>
      </c>
      <c r="AP133" s="586"/>
      <c r="AQ133" s="586"/>
    </row>
    <row r="134" spans="1:43" s="554" customFormat="1" ht="26.25" thickBot="1" x14ac:dyDescent="0.3">
      <c r="A134" s="628" t="s">
        <v>434</v>
      </c>
      <c r="B134" s="629"/>
      <c r="C134" s="630"/>
      <c r="D134" s="631"/>
      <c r="E134" s="632"/>
      <c r="F134" s="630"/>
      <c r="G134" s="630"/>
      <c r="H134" s="646">
        <f>+(H135*W135)</f>
        <v>1</v>
      </c>
      <c r="I134" s="644">
        <f>+(I135*X135)</f>
        <v>1</v>
      </c>
      <c r="J134" s="637"/>
      <c r="K134" s="629"/>
      <c r="L134" s="636"/>
      <c r="M134" s="637"/>
      <c r="N134" s="637"/>
      <c r="O134" s="636"/>
      <c r="P134" s="636"/>
      <c r="Q134" s="636"/>
      <c r="R134" s="639"/>
      <c r="S134" s="636"/>
      <c r="T134" s="838"/>
      <c r="U134" s="641"/>
      <c r="V134" s="679">
        <f>+(V135*W135)</f>
        <v>0.5</v>
      </c>
      <c r="W134" s="646">
        <v>0.15</v>
      </c>
      <c r="X134" s="657">
        <v>0.15</v>
      </c>
      <c r="Y134" s="642">
        <f>+Y135</f>
        <v>600000000</v>
      </c>
      <c r="Z134" s="642">
        <f>+Z135</f>
        <v>0</v>
      </c>
      <c r="AA134" s="642">
        <f>+AA135</f>
        <v>592541079</v>
      </c>
      <c r="AB134" s="643">
        <f t="shared" si="55"/>
        <v>0.98756846499999995</v>
      </c>
      <c r="AC134" s="642">
        <f>+AC135</f>
        <v>415652749</v>
      </c>
      <c r="AD134" s="644">
        <f t="shared" si="56"/>
        <v>0.6927545816666667</v>
      </c>
      <c r="AE134" s="629">
        <f>+AE135</f>
        <v>176888330</v>
      </c>
      <c r="AF134" s="637">
        <f>+AF135</f>
        <v>0</v>
      </c>
      <c r="AG134" s="642">
        <f>+AG135</f>
        <v>0</v>
      </c>
      <c r="AH134" s="645" t="e">
        <f t="shared" si="57"/>
        <v>#DIV/0!</v>
      </c>
      <c r="AI134" s="642">
        <f t="shared" ref="AI134:AJ134" si="144">+AI135</f>
        <v>3000000000</v>
      </c>
      <c r="AJ134" s="642">
        <f t="shared" si="144"/>
        <v>592541079</v>
      </c>
      <c r="AK134" s="646">
        <f t="shared" si="140"/>
        <v>0.19751369299999999</v>
      </c>
      <c r="AL134" s="636"/>
      <c r="AM134" s="636" t="s">
        <v>300</v>
      </c>
      <c r="AN134" s="637"/>
      <c r="AO134" s="629"/>
      <c r="AP134" s="634"/>
      <c r="AQ134" s="634"/>
    </row>
    <row r="135" spans="1:43" ht="26.25" thickBot="1" x14ac:dyDescent="0.3">
      <c r="A135" s="742" t="s">
        <v>476</v>
      </c>
      <c r="B135" s="743"/>
      <c r="C135" s="744"/>
      <c r="D135" s="745"/>
      <c r="E135" s="746"/>
      <c r="F135" s="744"/>
      <c r="G135" s="744"/>
      <c r="H135" s="747">
        <f>+SUMPRODUCT(H136:H139,W136:W139)</f>
        <v>1</v>
      </c>
      <c r="I135" s="748">
        <f>+SUMPRODUCT(I136:I139,X136:X139)</f>
        <v>1</v>
      </c>
      <c r="J135" s="750"/>
      <c r="K135" s="743"/>
      <c r="L135" s="749"/>
      <c r="M135" s="750"/>
      <c r="N135" s="750"/>
      <c r="O135" s="749"/>
      <c r="P135" s="749"/>
      <c r="Q135" s="749"/>
      <c r="R135" s="752"/>
      <c r="S135" s="749"/>
      <c r="T135" s="826"/>
      <c r="U135" s="754"/>
      <c r="V135" s="755">
        <f>+SUMPRODUCT(V136:V139,W136:W139)</f>
        <v>0.5</v>
      </c>
      <c r="W135" s="747">
        <v>1</v>
      </c>
      <c r="X135" s="756">
        <v>1</v>
      </c>
      <c r="Y135" s="757">
        <f>SUM(Y136:Y139)</f>
        <v>600000000</v>
      </c>
      <c r="Z135" s="757">
        <f>SUM(Z136:Z139)</f>
        <v>0</v>
      </c>
      <c r="AA135" s="757">
        <f>SUM(AA136:AA139)</f>
        <v>592541079</v>
      </c>
      <c r="AB135" s="758">
        <f t="shared" si="55"/>
        <v>0.98756846499999995</v>
      </c>
      <c r="AC135" s="757">
        <f>SUM(AC136:AC139)</f>
        <v>415652749</v>
      </c>
      <c r="AD135" s="748">
        <f t="shared" si="56"/>
        <v>0.6927545816666667</v>
      </c>
      <c r="AE135" s="928">
        <f>SUM(AE136:AE139)</f>
        <v>176888330</v>
      </c>
      <c r="AF135" s="750">
        <f>SUM(AF136:AF139)</f>
        <v>0</v>
      </c>
      <c r="AG135" s="757">
        <f>SUM(AG136:AG139)</f>
        <v>0</v>
      </c>
      <c r="AH135" s="760" t="e">
        <f t="shared" si="57"/>
        <v>#DIV/0!</v>
      </c>
      <c r="AI135" s="757">
        <f t="shared" ref="AI135:AJ135" si="145">SUM(AI136:AI139)</f>
        <v>3000000000</v>
      </c>
      <c r="AJ135" s="757">
        <f t="shared" si="145"/>
        <v>592541079</v>
      </c>
      <c r="AK135" s="747">
        <f t="shared" si="140"/>
        <v>0.19751369299999999</v>
      </c>
      <c r="AL135" s="761"/>
      <c r="AM135" s="761"/>
      <c r="AN135" s="210"/>
      <c r="AO135" s="928"/>
      <c r="AP135" s="213"/>
      <c r="AQ135" s="213"/>
    </row>
    <row r="136" spans="1:43" ht="140.25" x14ac:dyDescent="0.25">
      <c r="A136" s="253" t="s">
        <v>604</v>
      </c>
      <c r="B136" s="832" t="s">
        <v>873</v>
      </c>
      <c r="C136" s="840">
        <v>1</v>
      </c>
      <c r="D136" s="841">
        <v>1</v>
      </c>
      <c r="E136" s="1636">
        <v>0</v>
      </c>
      <c r="F136" s="992">
        <v>1</v>
      </c>
      <c r="G136" s="992">
        <v>1</v>
      </c>
      <c r="H136" s="1592">
        <f t="shared" ref="H136" si="146">IF((E136+G136)/C136&gt;=100%,100%,(E136+G136)/C136)</f>
        <v>1</v>
      </c>
      <c r="I136" s="1597">
        <f t="shared" ref="I136" si="147">IF(F136/D136&gt;=100%,100%,F136/D136)</f>
        <v>1</v>
      </c>
      <c r="J136" s="914" t="s">
        <v>1117</v>
      </c>
      <c r="K136" s="1647"/>
      <c r="L136" s="1588"/>
      <c r="M136" s="1589"/>
      <c r="N136" s="1587"/>
      <c r="O136" s="1648"/>
      <c r="P136" s="1648"/>
      <c r="Q136" s="1648"/>
      <c r="R136" s="1591"/>
      <c r="S136" s="1648"/>
      <c r="T136" s="1649">
        <v>4</v>
      </c>
      <c r="U136" s="993">
        <f>SUM(E136:G136)</f>
        <v>2</v>
      </c>
      <c r="V136" s="1684">
        <f t="shared" ref="V136" si="148">IF(U136/T136&gt;=100%,100%,U136/T136)</f>
        <v>0.5</v>
      </c>
      <c r="W136" s="1592">
        <v>0.25</v>
      </c>
      <c r="X136" s="1651">
        <v>0.25</v>
      </c>
      <c r="Y136" s="465">
        <v>150000000</v>
      </c>
      <c r="Z136" s="465">
        <v>0</v>
      </c>
      <c r="AA136" s="465">
        <v>148132023</v>
      </c>
      <c r="AB136" s="1596">
        <f t="shared" ref="AB136:AB199" si="149">+AA136/Y136</f>
        <v>0.98754682000000005</v>
      </c>
      <c r="AC136" s="1685">
        <v>144167220</v>
      </c>
      <c r="AD136" s="1674">
        <f t="shared" si="56"/>
        <v>0.96111480000000005</v>
      </c>
      <c r="AE136" s="1598">
        <f>+AA136-AC136</f>
        <v>3964803</v>
      </c>
      <c r="AF136" s="1539">
        <v>0</v>
      </c>
      <c r="AG136" s="465">
        <v>0</v>
      </c>
      <c r="AH136" s="1097" t="e">
        <f t="shared" si="57"/>
        <v>#DIV/0!</v>
      </c>
      <c r="AI136" s="1599">
        <v>750000000</v>
      </c>
      <c r="AJ136" s="1599">
        <f t="shared" ref="AJ136:AJ139" si="150">+SUM(Z136:AA136)</f>
        <v>148132023</v>
      </c>
      <c r="AK136" s="1652">
        <f t="shared" si="61"/>
        <v>0.19750936399999999</v>
      </c>
      <c r="AL136" s="1671"/>
      <c r="AM136" s="1600"/>
      <c r="AN136" s="602" t="s">
        <v>30</v>
      </c>
      <c r="AO136" s="1904" t="s">
        <v>917</v>
      </c>
      <c r="AP136" s="1805"/>
      <c r="AQ136" s="595"/>
    </row>
    <row r="137" spans="1:43" ht="102" x14ac:dyDescent="0.25">
      <c r="A137" s="253" t="s">
        <v>605</v>
      </c>
      <c r="B137" s="348" t="s">
        <v>874</v>
      </c>
      <c r="C137" s="377">
        <v>1</v>
      </c>
      <c r="D137" s="185">
        <v>1</v>
      </c>
      <c r="E137" s="1582">
        <v>0</v>
      </c>
      <c r="F137" s="558">
        <v>1</v>
      </c>
      <c r="G137" s="558">
        <v>1</v>
      </c>
      <c r="H137" s="598">
        <f t="shared" ref="H137:H139" si="151">IF((E137+G137)/C137&gt;=100%,100%,(E137+G137)/C137)</f>
        <v>1</v>
      </c>
      <c r="I137" s="1096">
        <f t="shared" ref="I137:I139" si="152">IF(F137/D137&gt;=100%,100%,F137/D137)</f>
        <v>1</v>
      </c>
      <c r="J137" s="603" t="s">
        <v>1118</v>
      </c>
      <c r="K137" s="1640"/>
      <c r="L137" s="1583"/>
      <c r="M137" s="1584"/>
      <c r="N137" s="1085"/>
      <c r="O137" s="1098"/>
      <c r="P137" s="1098"/>
      <c r="Q137" s="1098"/>
      <c r="R137" s="1091"/>
      <c r="S137" s="1098"/>
      <c r="T137" s="1607">
        <v>4</v>
      </c>
      <c r="U137" s="599">
        <f>SUM(E137:G137)</f>
        <v>2</v>
      </c>
      <c r="V137" s="1684">
        <f t="shared" ref="V137:V139" si="153">IF(U137/T137&gt;=100%,100%,U137/T137)</f>
        <v>0.5</v>
      </c>
      <c r="W137" s="598">
        <v>0.25</v>
      </c>
      <c r="X137" s="1093">
        <v>0.25</v>
      </c>
      <c r="Y137" s="465">
        <v>150000000</v>
      </c>
      <c r="Z137" s="465">
        <v>0</v>
      </c>
      <c r="AA137" s="465">
        <v>148136352</v>
      </c>
      <c r="AB137" s="1095">
        <f t="shared" si="149"/>
        <v>0.98757567999999996</v>
      </c>
      <c r="AC137" s="465">
        <v>144161843</v>
      </c>
      <c r="AD137" s="1104">
        <f t="shared" ref="AD137:AD200" si="154">+AC137/Y137</f>
        <v>0.96107895333333337</v>
      </c>
      <c r="AE137" s="1601">
        <f>+AA137-AC137</f>
        <v>3974509</v>
      </c>
      <c r="AF137" s="1539">
        <v>0</v>
      </c>
      <c r="AG137" s="465">
        <v>0</v>
      </c>
      <c r="AH137" s="1097" t="e">
        <f t="shared" ref="AH137:AH200" si="155">+AG137/AF137</f>
        <v>#DIV/0!</v>
      </c>
      <c r="AI137" s="1603">
        <v>750000000</v>
      </c>
      <c r="AJ137" s="1603">
        <f t="shared" si="150"/>
        <v>148136352</v>
      </c>
      <c r="AK137" s="894">
        <f t="shared" si="61"/>
        <v>0.19751513600000001</v>
      </c>
      <c r="AL137" s="1615"/>
      <c r="AM137" s="1604"/>
      <c r="AN137" s="601" t="s">
        <v>30</v>
      </c>
      <c r="AO137" s="1897"/>
      <c r="AP137" s="1099"/>
      <c r="AQ137" s="98"/>
    </row>
    <row r="138" spans="1:43" ht="102" x14ac:dyDescent="0.25">
      <c r="A138" s="253" t="s">
        <v>606</v>
      </c>
      <c r="B138" s="348" t="s">
        <v>874</v>
      </c>
      <c r="C138" s="377">
        <v>1</v>
      </c>
      <c r="D138" s="185">
        <v>1</v>
      </c>
      <c r="E138" s="1582">
        <v>0</v>
      </c>
      <c r="F138" s="558">
        <v>1</v>
      </c>
      <c r="G138" s="558">
        <v>1</v>
      </c>
      <c r="H138" s="598">
        <f t="shared" si="151"/>
        <v>1</v>
      </c>
      <c r="I138" s="1096">
        <f t="shared" si="152"/>
        <v>1</v>
      </c>
      <c r="J138" s="603" t="s">
        <v>1119</v>
      </c>
      <c r="K138" s="1640"/>
      <c r="L138" s="1583"/>
      <c r="M138" s="1584"/>
      <c r="N138" s="1085"/>
      <c r="O138" s="1098"/>
      <c r="P138" s="1098"/>
      <c r="Q138" s="1098"/>
      <c r="R138" s="1091"/>
      <c r="S138" s="1098"/>
      <c r="T138" s="1607">
        <v>4</v>
      </c>
      <c r="U138" s="599">
        <f>SUM(E138:G138)</f>
        <v>2</v>
      </c>
      <c r="V138" s="1684">
        <f t="shared" si="153"/>
        <v>0.5</v>
      </c>
      <c r="W138" s="598">
        <v>0.25</v>
      </c>
      <c r="X138" s="1093">
        <v>0.25</v>
      </c>
      <c r="Y138" s="465">
        <v>150000000</v>
      </c>
      <c r="Z138" s="465">
        <v>0</v>
      </c>
      <c r="AA138" s="465">
        <v>148136352</v>
      </c>
      <c r="AB138" s="1095">
        <f t="shared" si="149"/>
        <v>0.98757567999999996</v>
      </c>
      <c r="AC138" s="465">
        <v>121161843</v>
      </c>
      <c r="AD138" s="1104">
        <f t="shared" si="154"/>
        <v>0.80774562000000005</v>
      </c>
      <c r="AE138" s="1601">
        <f>+AA138-AC138</f>
        <v>26974509</v>
      </c>
      <c r="AF138" s="1539">
        <v>0</v>
      </c>
      <c r="AG138" s="465">
        <v>0</v>
      </c>
      <c r="AH138" s="1097" t="e">
        <f t="shared" si="155"/>
        <v>#DIV/0!</v>
      </c>
      <c r="AI138" s="1603">
        <v>750000000</v>
      </c>
      <c r="AJ138" s="1603">
        <f t="shared" si="150"/>
        <v>148136352</v>
      </c>
      <c r="AK138" s="894">
        <f t="shared" si="61"/>
        <v>0.19751513600000001</v>
      </c>
      <c r="AL138" s="1615"/>
      <c r="AM138" s="1604"/>
      <c r="AN138" s="601" t="s">
        <v>30</v>
      </c>
      <c r="AO138" s="1897"/>
      <c r="AP138" s="1099"/>
      <c r="AQ138" s="98"/>
    </row>
    <row r="139" spans="1:43" ht="153.75" thickBot="1" x14ac:dyDescent="0.3">
      <c r="A139" s="596" t="s">
        <v>607</v>
      </c>
      <c r="B139" s="835" t="s">
        <v>795</v>
      </c>
      <c r="C139" s="821">
        <v>1</v>
      </c>
      <c r="D139" s="822">
        <v>1</v>
      </c>
      <c r="E139" s="1638">
        <v>0</v>
      </c>
      <c r="F139" s="908">
        <v>1</v>
      </c>
      <c r="G139" s="908">
        <v>1</v>
      </c>
      <c r="H139" s="894">
        <f t="shared" si="151"/>
        <v>1</v>
      </c>
      <c r="I139" s="1104">
        <f t="shared" si="152"/>
        <v>1</v>
      </c>
      <c r="J139" s="603" t="s">
        <v>1120</v>
      </c>
      <c r="K139" s="1640"/>
      <c r="L139" s="1641"/>
      <c r="M139" s="1642"/>
      <c r="N139" s="1640"/>
      <c r="O139" s="1098"/>
      <c r="P139" s="1098"/>
      <c r="Q139" s="1098"/>
      <c r="R139" s="1643"/>
      <c r="S139" s="1098"/>
      <c r="T139" s="1607">
        <v>4</v>
      </c>
      <c r="U139" s="935">
        <f>SUM(E139:G139)</f>
        <v>2</v>
      </c>
      <c r="V139" s="1679">
        <f t="shared" si="153"/>
        <v>0.5</v>
      </c>
      <c r="W139" s="894">
        <v>0.25</v>
      </c>
      <c r="X139" s="1655">
        <v>0.25</v>
      </c>
      <c r="Y139" s="836">
        <v>150000000</v>
      </c>
      <c r="Z139" s="836">
        <v>0</v>
      </c>
      <c r="AA139" s="836">
        <v>148136352</v>
      </c>
      <c r="AB139" s="1610">
        <f t="shared" si="149"/>
        <v>0.98757567999999996</v>
      </c>
      <c r="AC139" s="836">
        <v>6161843</v>
      </c>
      <c r="AD139" s="894">
        <f t="shared" si="154"/>
        <v>4.1078953333333335E-2</v>
      </c>
      <c r="AE139" s="1611">
        <f>+AA139-AC139</f>
        <v>141974509</v>
      </c>
      <c r="AF139" s="1540">
        <v>0</v>
      </c>
      <c r="AG139" s="836">
        <v>0</v>
      </c>
      <c r="AH139" s="1612" t="e">
        <f t="shared" si="155"/>
        <v>#DIV/0!</v>
      </c>
      <c r="AI139" s="1614">
        <v>750000000</v>
      </c>
      <c r="AJ139" s="1614">
        <f t="shared" si="150"/>
        <v>148136352</v>
      </c>
      <c r="AK139" s="894">
        <f t="shared" si="61"/>
        <v>0.19751513600000001</v>
      </c>
      <c r="AL139" s="1615"/>
      <c r="AM139" s="1615"/>
      <c r="AN139" s="603" t="s">
        <v>302</v>
      </c>
      <c r="AO139" s="1897"/>
      <c r="AP139" s="604"/>
      <c r="AQ139" s="594"/>
    </row>
    <row r="140" spans="1:43" s="554" customFormat="1" ht="26.25" thickBot="1" x14ac:dyDescent="0.3">
      <c r="A140" s="628" t="s">
        <v>435</v>
      </c>
      <c r="B140" s="629"/>
      <c r="C140" s="630"/>
      <c r="D140" s="631"/>
      <c r="E140" s="632"/>
      <c r="F140" s="630"/>
      <c r="G140" s="630"/>
      <c r="H140" s="837">
        <f>+(H141*0%)+(H144*100%)</f>
        <v>0</v>
      </c>
      <c r="I140" s="644">
        <f>+(I141*X141)+(I144*X144)</f>
        <v>1</v>
      </c>
      <c r="J140" s="637"/>
      <c r="K140" s="629"/>
      <c r="L140" s="636"/>
      <c r="M140" s="637"/>
      <c r="N140" s="637"/>
      <c r="O140" s="636"/>
      <c r="P140" s="636"/>
      <c r="Q140" s="636"/>
      <c r="R140" s="639"/>
      <c r="S140" s="636"/>
      <c r="T140" s="838"/>
      <c r="U140" s="641"/>
      <c r="V140" s="839">
        <f>+(V141*W141)+(V144*W144)</f>
        <v>0.85000000000000009</v>
      </c>
      <c r="W140" s="646">
        <v>0.15</v>
      </c>
      <c r="X140" s="657">
        <v>0.15</v>
      </c>
      <c r="Y140" s="642">
        <f>+Y141+Y144</f>
        <v>1025000000</v>
      </c>
      <c r="Z140" s="642">
        <f>+Z141+Z144</f>
        <v>125000000</v>
      </c>
      <c r="AA140" s="702">
        <f>+AA141+AA144</f>
        <v>1013923268</v>
      </c>
      <c r="AB140" s="643">
        <f t="shared" si="149"/>
        <v>0.9891934321951219</v>
      </c>
      <c r="AC140" s="702">
        <f>+AC141+AC144</f>
        <v>562539524</v>
      </c>
      <c r="AD140" s="644">
        <f t="shared" si="154"/>
        <v>0.548819047804878</v>
      </c>
      <c r="AE140" s="629">
        <f>+AE141+AE144</f>
        <v>451383744</v>
      </c>
      <c r="AF140" s="637">
        <f>+AF141+AF144</f>
        <v>62250000</v>
      </c>
      <c r="AG140" s="642">
        <f>+AG141+AG144</f>
        <v>4000000</v>
      </c>
      <c r="AH140" s="645">
        <f t="shared" si="155"/>
        <v>6.4257028112449793E-2</v>
      </c>
      <c r="AI140" s="642">
        <f t="shared" ref="AI140:AJ140" si="156">+AI141+AI144</f>
        <v>4360000000</v>
      </c>
      <c r="AJ140" s="642">
        <f t="shared" si="156"/>
        <v>1138923268</v>
      </c>
      <c r="AK140" s="646">
        <f t="shared" si="61"/>
        <v>0.26122093302752292</v>
      </c>
      <c r="AL140" s="636"/>
      <c r="AM140" s="636" t="s">
        <v>300</v>
      </c>
      <c r="AN140" s="637"/>
      <c r="AO140" s="629"/>
      <c r="AP140" s="634"/>
      <c r="AQ140" s="634"/>
    </row>
    <row r="141" spans="1:43" ht="39" thickBot="1" x14ac:dyDescent="0.3">
      <c r="A141" s="742" t="s">
        <v>477</v>
      </c>
      <c r="B141" s="743"/>
      <c r="C141" s="744"/>
      <c r="D141" s="745"/>
      <c r="E141" s="746"/>
      <c r="F141" s="744"/>
      <c r="G141" s="744"/>
      <c r="H141" s="747">
        <v>0</v>
      </c>
      <c r="I141" s="748">
        <f>+SUMPRODUCT(I142:I143,X142:X143)</f>
        <v>1</v>
      </c>
      <c r="J141" s="750"/>
      <c r="K141" s="743"/>
      <c r="L141" s="749"/>
      <c r="M141" s="750"/>
      <c r="N141" s="750"/>
      <c r="O141" s="749"/>
      <c r="P141" s="749"/>
      <c r="Q141" s="749"/>
      <c r="R141" s="752"/>
      <c r="S141" s="749"/>
      <c r="T141" s="754"/>
      <c r="U141" s="754"/>
      <c r="V141" s="755">
        <f>+SUMPRODUCT(V142:V143,W142:W143)</f>
        <v>1</v>
      </c>
      <c r="W141" s="747">
        <v>0.8</v>
      </c>
      <c r="X141" s="756">
        <v>0.8</v>
      </c>
      <c r="Y141" s="757">
        <f>SUM(Y142:Y143)</f>
        <v>900000000</v>
      </c>
      <c r="Z141" s="757">
        <f>SUM(Z142:Z143)</f>
        <v>0</v>
      </c>
      <c r="AA141" s="834">
        <f>SUM(AA142:AA143)</f>
        <v>890476308</v>
      </c>
      <c r="AB141" s="758">
        <f t="shared" si="149"/>
        <v>0.98941811999999996</v>
      </c>
      <c r="AC141" s="834">
        <f>SUM(AC142:AC143)</f>
        <v>497437069</v>
      </c>
      <c r="AD141" s="748">
        <f t="shared" si="154"/>
        <v>0.55270785444444448</v>
      </c>
      <c r="AE141" s="928">
        <f>SUM(AE142:AE143)</f>
        <v>393039239</v>
      </c>
      <c r="AF141" s="210">
        <f>SUM(AF142:AF143)</f>
        <v>0</v>
      </c>
      <c r="AG141" s="759">
        <f>SUM(AG142:AG143)</f>
        <v>0</v>
      </c>
      <c r="AH141" s="760" t="e">
        <f t="shared" si="155"/>
        <v>#DIV/0!</v>
      </c>
      <c r="AI141" s="757">
        <f t="shared" ref="AI141:AJ141" si="157">SUM(AI142:AI143)</f>
        <v>3860000000</v>
      </c>
      <c r="AJ141" s="757">
        <f t="shared" si="157"/>
        <v>890476308</v>
      </c>
      <c r="AK141" s="747">
        <f t="shared" ref="AK141" si="158">+AJ141/AI141</f>
        <v>0.23069334404145078</v>
      </c>
      <c r="AL141" s="761"/>
      <c r="AM141" s="761"/>
      <c r="AN141" s="210"/>
      <c r="AO141" s="928"/>
      <c r="AP141" s="213"/>
      <c r="AQ141" s="213"/>
    </row>
    <row r="142" spans="1:43" ht="63.75" x14ac:dyDescent="0.25">
      <c r="A142" s="261" t="s">
        <v>608</v>
      </c>
      <c r="B142" s="832" t="s">
        <v>875</v>
      </c>
      <c r="C142" s="378">
        <v>0</v>
      </c>
      <c r="D142" s="311">
        <v>23</v>
      </c>
      <c r="E142" s="727">
        <v>0</v>
      </c>
      <c r="F142" s="728">
        <v>23</v>
      </c>
      <c r="G142" s="728"/>
      <c r="H142" s="729" t="e">
        <f t="shared" ref="H142" si="159">IF((E142+G142)/C142&gt;=100%,100%,(E142+G142)/C142)</f>
        <v>#DIV/0!</v>
      </c>
      <c r="I142" s="730">
        <f t="shared" ref="I142" si="160">IF(F142/D142&gt;=100%,100%,F142/D142)</f>
        <v>1</v>
      </c>
      <c r="J142" s="591" t="s">
        <v>985</v>
      </c>
      <c r="K142" s="783"/>
      <c r="L142" s="731"/>
      <c r="M142" s="732"/>
      <c r="N142" s="585"/>
      <c r="O142" s="824"/>
      <c r="P142" s="824"/>
      <c r="Q142" s="824"/>
      <c r="R142" s="734"/>
      <c r="S142" s="824"/>
      <c r="T142" s="222">
        <v>23</v>
      </c>
      <c r="U142" s="736">
        <f>SUM(E142:G142)</f>
        <v>23</v>
      </c>
      <c r="V142" s="170">
        <f t="shared" ref="V142" si="161">IF(U142/T142&gt;=100%,100%,U142/T142)</f>
        <v>1</v>
      </c>
      <c r="W142" s="729">
        <v>0.5</v>
      </c>
      <c r="X142" s="737">
        <v>0.5</v>
      </c>
      <c r="Y142" s="501">
        <v>840000000</v>
      </c>
      <c r="Z142" s="501">
        <v>0</v>
      </c>
      <c r="AA142" s="280">
        <v>831081538</v>
      </c>
      <c r="AB142" s="738">
        <f t="shared" si="149"/>
        <v>0.98938278333333329</v>
      </c>
      <c r="AC142" s="280">
        <v>464258016</v>
      </c>
      <c r="AD142" s="772">
        <f t="shared" si="154"/>
        <v>0.55268811428571429</v>
      </c>
      <c r="AE142" s="773">
        <f>+AA142-AC142</f>
        <v>366823522</v>
      </c>
      <c r="AF142" s="1554">
        <v>0</v>
      </c>
      <c r="AG142" s="501">
        <v>0</v>
      </c>
      <c r="AH142" s="506" t="e">
        <f t="shared" si="155"/>
        <v>#DIV/0!</v>
      </c>
      <c r="AI142" s="833">
        <v>1340000000</v>
      </c>
      <c r="AJ142" s="740">
        <f t="shared" ref="AJ142:AJ143" si="162">+SUM(Z142:AA142)</f>
        <v>831081538</v>
      </c>
      <c r="AK142" s="772">
        <f t="shared" ref="AK142:AK202" si="163">+AJ142/AI142</f>
        <v>0.62021010298507462</v>
      </c>
      <c r="AL142" s="741"/>
      <c r="AM142" s="171"/>
      <c r="AN142" s="591" t="s">
        <v>30</v>
      </c>
      <c r="AO142" s="1782" t="s">
        <v>1096</v>
      </c>
      <c r="AP142" s="595"/>
      <c r="AQ142" s="595"/>
    </row>
    <row r="143" spans="1:43" ht="89.25" x14ac:dyDescent="0.25">
      <c r="A143" s="262" t="s">
        <v>609</v>
      </c>
      <c r="B143" s="349" t="s">
        <v>876</v>
      </c>
      <c r="C143" s="379">
        <v>0</v>
      </c>
      <c r="D143" s="312">
        <v>1</v>
      </c>
      <c r="E143" s="224">
        <v>0</v>
      </c>
      <c r="F143" s="169">
        <v>1</v>
      </c>
      <c r="G143" s="147"/>
      <c r="H143" s="167" t="e">
        <f t="shared" ref="H143" si="164">IF((E143+G143)/C143&gt;=100%,100%,(E143+G143)/C143)</f>
        <v>#DIV/0!</v>
      </c>
      <c r="I143" s="520">
        <f t="shared" ref="I143" si="165">IF(F143/D143&gt;=100%,100%,F143/D143)</f>
        <v>1</v>
      </c>
      <c r="J143" s="151" t="s">
        <v>986</v>
      </c>
      <c r="K143" s="568"/>
      <c r="L143" s="102"/>
      <c r="M143" s="104"/>
      <c r="N143" s="146"/>
      <c r="O143" s="168"/>
      <c r="P143" s="168"/>
      <c r="Q143" s="168"/>
      <c r="R143" s="150"/>
      <c r="S143" s="168"/>
      <c r="T143" s="223">
        <v>1</v>
      </c>
      <c r="U143" s="167">
        <f>SUM(E143:G143)</f>
        <v>1</v>
      </c>
      <c r="V143" s="170">
        <f t="shared" ref="V143" si="166">IF(U143/T143&gt;=100%,100%,U143/T143)</f>
        <v>1</v>
      </c>
      <c r="W143" s="167">
        <v>0.5</v>
      </c>
      <c r="X143" s="395">
        <v>0.5</v>
      </c>
      <c r="Y143" s="471">
        <v>60000000</v>
      </c>
      <c r="Z143" s="501">
        <v>0</v>
      </c>
      <c r="AA143" s="280">
        <v>59394770</v>
      </c>
      <c r="AB143" s="208">
        <f t="shared" si="149"/>
        <v>0.98991283333333335</v>
      </c>
      <c r="AC143" s="280">
        <v>33179053</v>
      </c>
      <c r="AD143" s="557">
        <f t="shared" si="154"/>
        <v>0.55298421666666664</v>
      </c>
      <c r="AE143" s="154">
        <f>+AA143-AC143</f>
        <v>26215717</v>
      </c>
      <c r="AF143" s="1554">
        <v>0</v>
      </c>
      <c r="AG143" s="501">
        <v>0</v>
      </c>
      <c r="AH143" s="506" t="e">
        <f t="shared" si="155"/>
        <v>#DIV/0!</v>
      </c>
      <c r="AI143" s="583">
        <v>2520000000</v>
      </c>
      <c r="AJ143" s="198">
        <f t="shared" si="162"/>
        <v>59394770</v>
      </c>
      <c r="AK143" s="894">
        <f t="shared" si="163"/>
        <v>2.3569353174603173E-2</v>
      </c>
      <c r="AL143" s="162"/>
      <c r="AM143" s="155"/>
      <c r="AN143" s="151" t="s">
        <v>30</v>
      </c>
      <c r="AO143" s="1783" t="s">
        <v>1096</v>
      </c>
      <c r="AP143" s="98"/>
      <c r="AQ143" s="98"/>
    </row>
    <row r="144" spans="1:43" ht="38.25" x14ac:dyDescent="0.25">
      <c r="A144" s="241" t="s">
        <v>478</v>
      </c>
      <c r="B144" s="140"/>
      <c r="C144" s="141"/>
      <c r="D144" s="187"/>
      <c r="E144" s="181"/>
      <c r="F144" s="141"/>
      <c r="G144" s="141"/>
      <c r="H144" s="142">
        <f>+(H145*100%)</f>
        <v>0</v>
      </c>
      <c r="I144" s="157">
        <f>+SUMPRODUCT(I145:I145,X145:X145)</f>
        <v>1</v>
      </c>
      <c r="J144" s="588"/>
      <c r="K144" s="584"/>
      <c r="L144" s="143"/>
      <c r="M144" s="144"/>
      <c r="N144" s="144"/>
      <c r="O144" s="164"/>
      <c r="P144" s="164"/>
      <c r="Q144" s="164"/>
      <c r="R144" s="158"/>
      <c r="S144" s="164"/>
      <c r="T144" s="191"/>
      <c r="U144" s="201"/>
      <c r="V144" s="165">
        <f>+SUMPRODUCT(V145:V145,W145:W145)</f>
        <v>0.25</v>
      </c>
      <c r="W144" s="142">
        <v>0.2</v>
      </c>
      <c r="X144" s="394">
        <v>0.2</v>
      </c>
      <c r="Y144" s="559">
        <f>SUM(Y145)</f>
        <v>125000000</v>
      </c>
      <c r="Z144" s="559">
        <f>SUM(Z145)</f>
        <v>125000000</v>
      </c>
      <c r="AA144" s="559">
        <f>SUM(AA145)</f>
        <v>123446960</v>
      </c>
      <c r="AB144" s="207">
        <f t="shared" si="149"/>
        <v>0.98757567999999996</v>
      </c>
      <c r="AC144" s="559">
        <f>SUM(AC145)</f>
        <v>65102455</v>
      </c>
      <c r="AD144" s="556">
        <f t="shared" si="154"/>
        <v>0.52081964000000003</v>
      </c>
      <c r="AE144" s="1229">
        <f>SUM(AE145)</f>
        <v>58344505</v>
      </c>
      <c r="AF144" s="144">
        <f>SUM(AF145)</f>
        <v>62250000</v>
      </c>
      <c r="AG144" s="559">
        <f>SUM(AG145)</f>
        <v>4000000</v>
      </c>
      <c r="AH144" s="505">
        <f t="shared" si="155"/>
        <v>6.4257028112449793E-2</v>
      </c>
      <c r="AI144" s="559">
        <f t="shared" ref="AI144:AJ144" si="167">SUM(AI145)</f>
        <v>500000000</v>
      </c>
      <c r="AJ144" s="559">
        <f t="shared" si="167"/>
        <v>248446960</v>
      </c>
      <c r="AK144" s="1227">
        <f t="shared" si="163"/>
        <v>0.49689391999999999</v>
      </c>
      <c r="AL144" s="166"/>
      <c r="AM144" s="159"/>
      <c r="AN144" s="482"/>
      <c r="AO144" s="1229"/>
      <c r="AP144" s="101"/>
      <c r="AQ144" s="101"/>
    </row>
    <row r="145" spans="1:43" ht="141" thickBot="1" x14ac:dyDescent="0.3">
      <c r="A145" s="1026" t="s">
        <v>610</v>
      </c>
      <c r="B145" s="1027" t="s">
        <v>796</v>
      </c>
      <c r="C145" s="821">
        <v>1</v>
      </c>
      <c r="D145" s="822">
        <v>1</v>
      </c>
      <c r="E145" s="668">
        <v>0</v>
      </c>
      <c r="F145" s="573">
        <v>1</v>
      </c>
      <c r="G145" s="573">
        <v>0</v>
      </c>
      <c r="H145" s="561">
        <f t="shared" ref="H145" si="168">IF((E145+G145)/C145&gt;=100%,100%,(E145+G145)/C145)</f>
        <v>0</v>
      </c>
      <c r="I145" s="557">
        <f t="shared" ref="I145" si="169">IF(F145/D145&gt;=100%,100%,F145/D145)</f>
        <v>1</v>
      </c>
      <c r="J145" s="589" t="s">
        <v>987</v>
      </c>
      <c r="K145" s="568"/>
      <c r="L145" s="177"/>
      <c r="M145" s="178"/>
      <c r="N145" s="568"/>
      <c r="O145" s="168"/>
      <c r="P145" s="168"/>
      <c r="Q145" s="168"/>
      <c r="R145" s="574"/>
      <c r="S145" s="168"/>
      <c r="T145" s="192">
        <v>4</v>
      </c>
      <c r="U145" s="555">
        <f>SUM(E145:G145)</f>
        <v>1</v>
      </c>
      <c r="V145" s="575">
        <f t="shared" ref="V145" si="170">IF(U145/T145&gt;=100%,100%,U145/T145)</f>
        <v>0.25</v>
      </c>
      <c r="W145" s="561">
        <v>1</v>
      </c>
      <c r="X145" s="398">
        <v>1</v>
      </c>
      <c r="Y145" s="842">
        <v>125000000</v>
      </c>
      <c r="Z145" s="843">
        <v>125000000</v>
      </c>
      <c r="AA145" s="843">
        <v>123446960</v>
      </c>
      <c r="AB145" s="580">
        <f t="shared" si="149"/>
        <v>0.98757567999999996</v>
      </c>
      <c r="AC145" s="843">
        <v>65102455</v>
      </c>
      <c r="AD145" s="557">
        <f t="shared" si="154"/>
        <v>0.52081964000000003</v>
      </c>
      <c r="AE145" s="163">
        <f>+AA145-AC145</f>
        <v>58344505</v>
      </c>
      <c r="AF145" s="1542">
        <v>62250000</v>
      </c>
      <c r="AG145" s="843">
        <v>4000000</v>
      </c>
      <c r="AH145" s="581">
        <f t="shared" si="155"/>
        <v>6.4257028112449793E-2</v>
      </c>
      <c r="AI145" s="582">
        <v>500000000</v>
      </c>
      <c r="AJ145" s="582">
        <f t="shared" ref="AJ145" si="171">+SUM(Z145:AA145)</f>
        <v>248446960</v>
      </c>
      <c r="AK145" s="894">
        <f>+AJ145/AI145</f>
        <v>0.49689391999999999</v>
      </c>
      <c r="AL145" s="162"/>
      <c r="AM145" s="162"/>
      <c r="AN145" s="589" t="s">
        <v>302</v>
      </c>
      <c r="AO145" s="1784" t="s">
        <v>913</v>
      </c>
      <c r="AP145" s="594"/>
      <c r="AQ145" s="594"/>
    </row>
    <row r="146" spans="1:43" ht="18.75" thickBot="1" x14ac:dyDescent="0.3">
      <c r="A146" s="1045" t="s">
        <v>424</v>
      </c>
      <c r="B146" s="1046"/>
      <c r="C146" s="1071"/>
      <c r="D146" s="1072"/>
      <c r="E146" s="1073"/>
      <c r="F146" s="1071"/>
      <c r="G146" s="1071"/>
      <c r="H146" s="1051">
        <f>(H147*0%)+(H150*14%)+(H157*14%)+(H167*24%)+(H190*29%)+(H202*19%)+(H208*0%)</f>
        <v>0.94006400000000001</v>
      </c>
      <c r="I146" s="1051">
        <f>(I147*X147)+(I150*X150)+(I157*X157)+(I167*X167)+(I190*X190)+(I202*X202)+(I208*X208)</f>
        <v>0.71321524452173901</v>
      </c>
      <c r="J146" s="1077"/>
      <c r="K146" s="1078"/>
      <c r="L146" s="1054"/>
      <c r="M146" s="1052"/>
      <c r="N146" s="1052"/>
      <c r="O146" s="1079"/>
      <c r="P146" s="1079"/>
      <c r="Q146" s="1079"/>
      <c r="R146" s="1080"/>
      <c r="S146" s="1079"/>
      <c r="T146" s="1081"/>
      <c r="U146" s="1082"/>
      <c r="V146" s="1059">
        <f>(V147*W147)+(V150*W150)+(V157*W157)+(V167*W167)+(V190*W190)+(V202*W202)+(V208*W208)</f>
        <v>0.33195208928571435</v>
      </c>
      <c r="W146" s="1066">
        <v>0.15</v>
      </c>
      <c r="X146" s="1075">
        <v>0.15</v>
      </c>
      <c r="Y146" s="1062">
        <f>+Y147+Y150+Y157+Y167+Y190+Y202+Y208</f>
        <v>6022500000</v>
      </c>
      <c r="Z146" s="1062">
        <f>+Z147+Z150+Z157+Z167+Z190+Z202+Z208</f>
        <v>2780417319</v>
      </c>
      <c r="AA146" s="1063">
        <f>+AA147+AA150+AA157+AA167+AA190+AA202+AA208</f>
        <v>5433305897.1400003</v>
      </c>
      <c r="AB146" s="1056">
        <f t="shared" si="149"/>
        <v>0.90216785340639272</v>
      </c>
      <c r="AC146" s="1063">
        <f>+AC147+AC150+AC157+AC167+AC190+AC202+AC208</f>
        <v>4158637205.3000002</v>
      </c>
      <c r="AD146" s="1064">
        <f t="shared" si="154"/>
        <v>0.69051676302200082</v>
      </c>
      <c r="AE146" s="1047">
        <f>+AE147+AE150+AE157+AE167+AE190+AE202+AE208</f>
        <v>1274668691.8399999</v>
      </c>
      <c r="AF146" s="1068">
        <f>+AF147+AF150+AF157+AF167+AF190+AF202+AF208</f>
        <v>988775833</v>
      </c>
      <c r="AG146" s="1062">
        <f>+AG147+AG150+AG157+AG167+AG190+AG202+AG208</f>
        <v>869778890</v>
      </c>
      <c r="AH146" s="1076">
        <f t="shared" si="155"/>
        <v>0.87965225379856149</v>
      </c>
      <c r="AI146" s="1062">
        <f t="shared" ref="AI146:AJ146" si="172">+AI147+AI150+AI157+AI167+AI190+AI202+AI208</f>
        <v>26440000000</v>
      </c>
      <c r="AJ146" s="1062">
        <f t="shared" si="172"/>
        <v>8213723216.1400003</v>
      </c>
      <c r="AK146" s="1066">
        <f t="shared" ref="AK146:AK174" si="173">+AJ146/AI146</f>
        <v>0.31065518971785178</v>
      </c>
      <c r="AL146" s="1067"/>
      <c r="AM146" s="1067"/>
      <c r="AN146" s="1068"/>
      <c r="AO146" s="1047"/>
      <c r="AP146" s="1077"/>
      <c r="AQ146" s="1077"/>
    </row>
    <row r="147" spans="1:43" s="554" customFormat="1" ht="39" thickBot="1" x14ac:dyDescent="0.3">
      <c r="A147" s="628" t="s">
        <v>436</v>
      </c>
      <c r="B147" s="629"/>
      <c r="C147" s="630"/>
      <c r="D147" s="631"/>
      <c r="E147" s="632"/>
      <c r="F147" s="630"/>
      <c r="G147" s="630"/>
      <c r="H147" s="633">
        <f>+(H148*0%)</f>
        <v>0</v>
      </c>
      <c r="I147" s="644">
        <f>+(I148*X148)</f>
        <v>0</v>
      </c>
      <c r="J147" s="634"/>
      <c r="K147" s="635"/>
      <c r="L147" s="636"/>
      <c r="M147" s="637"/>
      <c r="N147" s="637"/>
      <c r="O147" s="638"/>
      <c r="P147" s="638"/>
      <c r="Q147" s="638"/>
      <c r="R147" s="639"/>
      <c r="S147" s="638"/>
      <c r="T147" s="640"/>
      <c r="U147" s="641"/>
      <c r="V147" s="680">
        <f>+(V148*W148)</f>
        <v>0</v>
      </c>
      <c r="W147" s="646">
        <v>0.05</v>
      </c>
      <c r="X147" s="657">
        <v>0.05</v>
      </c>
      <c r="Y147" s="642">
        <f>+Y148</f>
        <v>180000000</v>
      </c>
      <c r="Z147" s="642">
        <f>+Z148</f>
        <v>0</v>
      </c>
      <c r="AA147" s="642">
        <f>+AA148</f>
        <v>177204569.19999999</v>
      </c>
      <c r="AB147" s="643">
        <f t="shared" si="149"/>
        <v>0.98446982888888879</v>
      </c>
      <c r="AC147" s="642">
        <f>+AC148</f>
        <v>164176346</v>
      </c>
      <c r="AD147" s="644">
        <f t="shared" si="154"/>
        <v>0.91209081111111112</v>
      </c>
      <c r="AE147" s="629">
        <f>+AE148</f>
        <v>13028223.199999988</v>
      </c>
      <c r="AF147" s="637">
        <f>+AF148</f>
        <v>0</v>
      </c>
      <c r="AG147" s="642">
        <f>+AG148</f>
        <v>0</v>
      </c>
      <c r="AH147" s="645" t="e">
        <f t="shared" si="155"/>
        <v>#DIV/0!</v>
      </c>
      <c r="AI147" s="642">
        <f t="shared" ref="AI147:AJ147" si="174">+AI148</f>
        <v>600000000</v>
      </c>
      <c r="AJ147" s="642">
        <f t="shared" si="174"/>
        <v>177204569.19999999</v>
      </c>
      <c r="AK147" s="646">
        <f t="shared" si="173"/>
        <v>0.29534094866666666</v>
      </c>
      <c r="AL147" s="636"/>
      <c r="AM147" s="636" t="s">
        <v>293</v>
      </c>
      <c r="AN147" s="637"/>
      <c r="AO147" s="629"/>
      <c r="AP147" s="634"/>
      <c r="AQ147" s="634"/>
    </row>
    <row r="148" spans="1:43" ht="13.5" thickBot="1" x14ac:dyDescent="0.3">
      <c r="A148" s="742" t="s">
        <v>479</v>
      </c>
      <c r="B148" s="743"/>
      <c r="C148" s="744"/>
      <c r="D148" s="745"/>
      <c r="E148" s="746"/>
      <c r="F148" s="744"/>
      <c r="G148" s="744"/>
      <c r="H148" s="747">
        <v>0</v>
      </c>
      <c r="I148" s="748">
        <f>+SUMPRODUCT(I149:I149,X149:X149)</f>
        <v>0</v>
      </c>
      <c r="J148" s="213"/>
      <c r="K148" s="211"/>
      <c r="L148" s="749"/>
      <c r="M148" s="750"/>
      <c r="N148" s="750"/>
      <c r="O148" s="751"/>
      <c r="P148" s="751"/>
      <c r="Q148" s="751"/>
      <c r="R148" s="752"/>
      <c r="S148" s="751"/>
      <c r="T148" s="753"/>
      <c r="U148" s="754"/>
      <c r="V148" s="755">
        <f>+SUMPRODUCT(V149:V149,W149:W149)</f>
        <v>0</v>
      </c>
      <c r="W148" s="747">
        <v>1</v>
      </c>
      <c r="X148" s="756">
        <v>1</v>
      </c>
      <c r="Y148" s="757">
        <f>SUM(Y149)</f>
        <v>180000000</v>
      </c>
      <c r="Z148" s="757">
        <f>SUM(Z149)</f>
        <v>0</v>
      </c>
      <c r="AA148" s="757">
        <f>SUM(AA149)</f>
        <v>177204569.19999999</v>
      </c>
      <c r="AB148" s="758">
        <f t="shared" si="149"/>
        <v>0.98446982888888879</v>
      </c>
      <c r="AC148" s="757">
        <f>SUM(AC149)</f>
        <v>164176346</v>
      </c>
      <c r="AD148" s="748">
        <f t="shared" si="154"/>
        <v>0.91209081111111112</v>
      </c>
      <c r="AE148" s="928">
        <f>SUM(AE149)</f>
        <v>13028223.199999988</v>
      </c>
      <c r="AF148" s="750">
        <f>SUM(AF149)</f>
        <v>0</v>
      </c>
      <c r="AG148" s="757">
        <f>SUM(AG149)</f>
        <v>0</v>
      </c>
      <c r="AH148" s="760" t="e">
        <f t="shared" si="155"/>
        <v>#DIV/0!</v>
      </c>
      <c r="AI148" s="757">
        <f t="shared" ref="AI148:AJ148" si="175">SUM(AI149)</f>
        <v>600000000</v>
      </c>
      <c r="AJ148" s="757">
        <f t="shared" si="175"/>
        <v>177204569.19999999</v>
      </c>
      <c r="AK148" s="747">
        <f t="shared" si="173"/>
        <v>0.29534094866666666</v>
      </c>
      <c r="AL148" s="761"/>
      <c r="AM148" s="761"/>
      <c r="AN148" s="210"/>
      <c r="AO148" s="928"/>
      <c r="AP148" s="213"/>
      <c r="AQ148" s="213"/>
    </row>
    <row r="149" spans="1:43" ht="115.5" thickBot="1" x14ac:dyDescent="0.3">
      <c r="A149" s="762" t="s">
        <v>611</v>
      </c>
      <c r="B149" s="350" t="s">
        <v>877</v>
      </c>
      <c r="C149" s="776">
        <v>0</v>
      </c>
      <c r="D149" s="777">
        <v>1</v>
      </c>
      <c r="E149" s="778">
        <v>0</v>
      </c>
      <c r="F149" s="779">
        <v>0</v>
      </c>
      <c r="G149" s="779"/>
      <c r="H149" s="780" t="e">
        <f t="shared" ref="H149" si="176">IF((E149+G149)/C149&gt;=100%,100%,(E149+G149)/C149)</f>
        <v>#DIV/0!</v>
      </c>
      <c r="I149" s="772">
        <f t="shared" ref="I149" si="177">IF(F149/D149&gt;=100%,100%,F149/D149)</f>
        <v>0</v>
      </c>
      <c r="J149" s="586" t="s">
        <v>988</v>
      </c>
      <c r="K149" s="563"/>
      <c r="L149" s="781"/>
      <c r="M149" s="782"/>
      <c r="N149" s="783"/>
      <c r="O149" s="733"/>
      <c r="P149" s="733"/>
      <c r="Q149" s="733"/>
      <c r="R149" s="784"/>
      <c r="S149" s="733"/>
      <c r="T149" s="735">
        <v>3</v>
      </c>
      <c r="U149" s="739">
        <f>SUM(E149:G149)</f>
        <v>0</v>
      </c>
      <c r="V149" s="575">
        <f t="shared" ref="V149" si="178">IF(U149/T149&gt;=100%,100%,U149/T149)</f>
        <v>0</v>
      </c>
      <c r="W149" s="780">
        <v>1</v>
      </c>
      <c r="X149" s="806">
        <v>1</v>
      </c>
      <c r="Y149" s="830">
        <v>180000000</v>
      </c>
      <c r="Z149" s="831">
        <v>0</v>
      </c>
      <c r="AA149" s="831">
        <v>177204569.19999999</v>
      </c>
      <c r="AB149" s="788">
        <f t="shared" si="149"/>
        <v>0.98446982888888879</v>
      </c>
      <c r="AC149" s="831">
        <v>164176346</v>
      </c>
      <c r="AD149" s="772">
        <f t="shared" si="154"/>
        <v>0.91209081111111112</v>
      </c>
      <c r="AE149" s="789">
        <f>+AA149-AC149</f>
        <v>13028223.199999988</v>
      </c>
      <c r="AF149" s="1555">
        <v>0</v>
      </c>
      <c r="AG149" s="831">
        <v>0</v>
      </c>
      <c r="AH149" s="581" t="e">
        <f t="shared" si="155"/>
        <v>#DIV/0!</v>
      </c>
      <c r="AI149" s="790">
        <v>600000000</v>
      </c>
      <c r="AJ149" s="790">
        <f t="shared" ref="AJ149" si="179">+SUM(Z149:AA149)</f>
        <v>177204569.19999999</v>
      </c>
      <c r="AK149" s="1652">
        <f t="shared" si="173"/>
        <v>0.29534094866666666</v>
      </c>
      <c r="AL149" s="741"/>
      <c r="AM149" s="741"/>
      <c r="AN149" s="791" t="s">
        <v>21</v>
      </c>
      <c r="AO149" s="763" t="s">
        <v>895</v>
      </c>
      <c r="AP149" s="586"/>
      <c r="AQ149" s="586"/>
    </row>
    <row r="150" spans="1:43" s="554" customFormat="1" ht="51.75" thickBot="1" x14ac:dyDescent="0.3">
      <c r="A150" s="628" t="s">
        <v>437</v>
      </c>
      <c r="B150" s="629"/>
      <c r="C150" s="630"/>
      <c r="D150" s="631"/>
      <c r="E150" s="632"/>
      <c r="F150" s="630"/>
      <c r="G150" s="630"/>
      <c r="H150" s="633">
        <f>+(H151*40%)+(H153*60%)+(H155*0%)</f>
        <v>1</v>
      </c>
      <c r="I150" s="644">
        <f>+(I151*X151)+(I153*X153)+(I155*X155)</f>
        <v>0.7</v>
      </c>
      <c r="J150" s="634"/>
      <c r="K150" s="635"/>
      <c r="L150" s="636"/>
      <c r="M150" s="637"/>
      <c r="N150" s="637"/>
      <c r="O150" s="638"/>
      <c r="P150" s="638"/>
      <c r="Q150" s="638"/>
      <c r="R150" s="639"/>
      <c r="S150" s="638"/>
      <c r="T150" s="640"/>
      <c r="U150" s="641"/>
      <c r="V150" s="680">
        <f>+(V151*W151)+(V153*W153)+(V155*W155)</f>
        <v>0.35</v>
      </c>
      <c r="W150" s="646">
        <v>0.1</v>
      </c>
      <c r="X150" s="657">
        <v>0.1</v>
      </c>
      <c r="Y150" s="642">
        <f>+Y151+Y153+Y155</f>
        <v>480000000</v>
      </c>
      <c r="Z150" s="642">
        <f>+Z151+Z153+Z155</f>
        <v>68500000</v>
      </c>
      <c r="AA150" s="642">
        <f>+AA151+AA153+AA155</f>
        <v>472511601</v>
      </c>
      <c r="AB150" s="643">
        <f t="shared" si="149"/>
        <v>0.98439916875</v>
      </c>
      <c r="AC150" s="642">
        <f>+AC151+AC153+AC155</f>
        <v>445997516</v>
      </c>
      <c r="AD150" s="644">
        <f t="shared" si="154"/>
        <v>0.92916149166666662</v>
      </c>
      <c r="AE150" s="629">
        <f>+AE151+AE153+AE155</f>
        <v>26514085</v>
      </c>
      <c r="AF150" s="637">
        <f>+AF151+AF153+AF155</f>
        <v>38500000</v>
      </c>
      <c r="AG150" s="642">
        <f>+AG151+AG153+AG155</f>
        <v>38500000</v>
      </c>
      <c r="AH150" s="645">
        <f t="shared" si="155"/>
        <v>1</v>
      </c>
      <c r="AI150" s="642">
        <f t="shared" ref="AI150:AJ150" si="180">+AI151+AI153+AI155</f>
        <v>1540000000</v>
      </c>
      <c r="AJ150" s="642">
        <f t="shared" si="180"/>
        <v>541011601</v>
      </c>
      <c r="AK150" s="646">
        <f t="shared" si="173"/>
        <v>0.3513062344155844</v>
      </c>
      <c r="AL150" s="636"/>
      <c r="AM150" s="636" t="s">
        <v>298</v>
      </c>
      <c r="AN150" s="637"/>
      <c r="AO150" s="629"/>
      <c r="AP150" s="634"/>
      <c r="AQ150" s="634"/>
    </row>
    <row r="151" spans="1:43" ht="13.5" thickBot="1" x14ac:dyDescent="0.3">
      <c r="A151" s="742" t="s">
        <v>480</v>
      </c>
      <c r="B151" s="743"/>
      <c r="C151" s="744"/>
      <c r="D151" s="745"/>
      <c r="E151" s="746"/>
      <c r="F151" s="744"/>
      <c r="G151" s="744"/>
      <c r="H151" s="747">
        <f>+SUMPRODUCT(H152:H152,W152:W152)</f>
        <v>1</v>
      </c>
      <c r="I151" s="748">
        <f>+SUMPRODUCT(I152:I152,X152:X152)</f>
        <v>1</v>
      </c>
      <c r="J151" s="750"/>
      <c r="K151" s="743"/>
      <c r="L151" s="749"/>
      <c r="M151" s="750"/>
      <c r="N151" s="750"/>
      <c r="O151" s="749"/>
      <c r="P151" s="749"/>
      <c r="Q151" s="749"/>
      <c r="R151" s="752"/>
      <c r="S151" s="749"/>
      <c r="T151" s="826"/>
      <c r="U151" s="754"/>
      <c r="V151" s="755">
        <f>+SUMPRODUCT(V152:V152,W152:W152)</f>
        <v>0.5</v>
      </c>
      <c r="W151" s="747">
        <v>0.3</v>
      </c>
      <c r="X151" s="756">
        <v>0.3</v>
      </c>
      <c r="Y151" s="757">
        <f>SUM(Y152)</f>
        <v>140000000</v>
      </c>
      <c r="Z151" s="757">
        <f>SUM(Z152)</f>
        <v>0</v>
      </c>
      <c r="AA151" s="757">
        <f>SUM(AA152)</f>
        <v>137825746</v>
      </c>
      <c r="AB151" s="758">
        <f t="shared" si="149"/>
        <v>0.98446961428571433</v>
      </c>
      <c r="AC151" s="757">
        <f>SUM(AC152)</f>
        <v>127134839</v>
      </c>
      <c r="AD151" s="748">
        <f t="shared" si="154"/>
        <v>0.90810599285714289</v>
      </c>
      <c r="AE151" s="928">
        <f>SUM(AE152)</f>
        <v>10690907</v>
      </c>
      <c r="AF151" s="750">
        <f>SUM(AF152)</f>
        <v>0</v>
      </c>
      <c r="AG151" s="757">
        <f>SUM(AG152)</f>
        <v>0</v>
      </c>
      <c r="AH151" s="760" t="e">
        <f t="shared" si="155"/>
        <v>#DIV/0!</v>
      </c>
      <c r="AI151" s="757">
        <f t="shared" ref="AI151:AJ151" si="181">SUM(AI152)</f>
        <v>510000000</v>
      </c>
      <c r="AJ151" s="757">
        <f t="shared" si="181"/>
        <v>137825746</v>
      </c>
      <c r="AK151" s="747">
        <f t="shared" si="173"/>
        <v>0.27024656078431375</v>
      </c>
      <c r="AL151" s="761"/>
      <c r="AM151" s="761"/>
      <c r="AN151" s="210"/>
      <c r="AO151" s="928"/>
      <c r="AP151" s="213"/>
      <c r="AQ151" s="213"/>
    </row>
    <row r="152" spans="1:43" ht="51.75" thickBot="1" x14ac:dyDescent="0.3">
      <c r="A152" s="707" t="s">
        <v>612</v>
      </c>
      <c r="B152" s="827" t="s">
        <v>878</v>
      </c>
      <c r="C152" s="828">
        <v>1</v>
      </c>
      <c r="D152" s="829">
        <v>1</v>
      </c>
      <c r="E152" s="778">
        <v>1</v>
      </c>
      <c r="F152" s="779">
        <v>1</v>
      </c>
      <c r="G152" s="779"/>
      <c r="H152" s="780">
        <f t="shared" ref="H152" si="182">IF((E152+G152)/C152&gt;=100%,100%,(E152+G152)/C152)</f>
        <v>1</v>
      </c>
      <c r="I152" s="772">
        <f t="shared" ref="I152" si="183">IF(F152/D152&gt;=100%,100%,F152/D152)</f>
        <v>1</v>
      </c>
      <c r="J152" s="791" t="s">
        <v>989</v>
      </c>
      <c r="K152" s="783"/>
      <c r="L152" s="781"/>
      <c r="M152" s="782"/>
      <c r="N152" s="783"/>
      <c r="O152" s="824"/>
      <c r="P152" s="824"/>
      <c r="Q152" s="824"/>
      <c r="R152" s="784"/>
      <c r="S152" s="824"/>
      <c r="T152" s="817">
        <v>4</v>
      </c>
      <c r="U152" s="739">
        <f>SUM(E152:G152)</f>
        <v>2</v>
      </c>
      <c r="V152" s="575">
        <f t="shared" ref="V152" si="184">IF(U152/T152&gt;=100%,100%,U152/T152)</f>
        <v>0.5</v>
      </c>
      <c r="W152" s="780">
        <v>1</v>
      </c>
      <c r="X152" s="806">
        <v>1</v>
      </c>
      <c r="Y152" s="712">
        <v>140000000</v>
      </c>
      <c r="Z152" s="802">
        <v>0</v>
      </c>
      <c r="AA152" s="712">
        <v>137825746</v>
      </c>
      <c r="AB152" s="788">
        <f t="shared" si="149"/>
        <v>0.98446961428571433</v>
      </c>
      <c r="AC152" s="712">
        <v>127134839</v>
      </c>
      <c r="AD152" s="772">
        <f t="shared" si="154"/>
        <v>0.90810599285714289</v>
      </c>
      <c r="AE152" s="789">
        <f>+AA152-AC152</f>
        <v>10690907</v>
      </c>
      <c r="AF152" s="1556">
        <v>0</v>
      </c>
      <c r="AG152" s="802">
        <v>0</v>
      </c>
      <c r="AH152" s="581" t="e">
        <f t="shared" si="155"/>
        <v>#DIV/0!</v>
      </c>
      <c r="AI152" s="790">
        <v>510000000</v>
      </c>
      <c r="AJ152" s="790">
        <f t="shared" ref="AJ152:AJ156" si="185">+SUM(Z152:AA152)</f>
        <v>137825746</v>
      </c>
      <c r="AK152" s="1652">
        <f t="shared" si="173"/>
        <v>0.27024656078431375</v>
      </c>
      <c r="AL152" s="741"/>
      <c r="AM152" s="741"/>
      <c r="AN152" s="791" t="s">
        <v>21</v>
      </c>
      <c r="AO152" s="1785" t="s">
        <v>918</v>
      </c>
      <c r="AP152" s="586"/>
      <c r="AQ152" s="586"/>
    </row>
    <row r="153" spans="1:43" ht="13.5" thickBot="1" x14ac:dyDescent="0.3">
      <c r="A153" s="742" t="s">
        <v>481</v>
      </c>
      <c r="B153" s="743"/>
      <c r="C153" s="744"/>
      <c r="D153" s="745"/>
      <c r="E153" s="746"/>
      <c r="F153" s="744"/>
      <c r="G153" s="744"/>
      <c r="H153" s="747">
        <f>+SUMPRODUCT(H154:H154,W154:W154)</f>
        <v>1</v>
      </c>
      <c r="I153" s="748">
        <f>+SUMPRODUCT(I154:I154,X154:X154)</f>
        <v>1</v>
      </c>
      <c r="J153" s="750"/>
      <c r="K153" s="743"/>
      <c r="L153" s="749"/>
      <c r="M153" s="750"/>
      <c r="N153" s="750"/>
      <c r="O153" s="749"/>
      <c r="P153" s="749"/>
      <c r="Q153" s="749"/>
      <c r="R153" s="752"/>
      <c r="S153" s="749"/>
      <c r="T153" s="826"/>
      <c r="U153" s="754"/>
      <c r="V153" s="755">
        <f>+SUMPRODUCT(V154:V154,W154:W154)</f>
        <v>0.5</v>
      </c>
      <c r="W153" s="747">
        <v>0.4</v>
      </c>
      <c r="X153" s="756">
        <v>0.4</v>
      </c>
      <c r="Y153" s="757">
        <f>SUM(Y154)</f>
        <v>160000000</v>
      </c>
      <c r="Z153" s="757">
        <f>SUM(Z154)</f>
        <v>68500000</v>
      </c>
      <c r="AA153" s="757">
        <f>SUM(AA154)</f>
        <v>157516021</v>
      </c>
      <c r="AB153" s="758">
        <f t="shared" si="149"/>
        <v>0.98447513124999997</v>
      </c>
      <c r="AC153" s="757">
        <f>SUM(AC154)</f>
        <v>152164275</v>
      </c>
      <c r="AD153" s="748">
        <f t="shared" si="154"/>
        <v>0.95102671875</v>
      </c>
      <c r="AE153" s="928">
        <f>SUM(AE154)</f>
        <v>5351746</v>
      </c>
      <c r="AF153" s="750">
        <f>SUM(AF154)</f>
        <v>38500000</v>
      </c>
      <c r="AG153" s="757">
        <f>SUM(AG154)</f>
        <v>38500000</v>
      </c>
      <c r="AH153" s="760">
        <f t="shared" si="155"/>
        <v>1</v>
      </c>
      <c r="AI153" s="757">
        <f>SUM(AI154)</f>
        <v>630000000</v>
      </c>
      <c r="AJ153" s="757">
        <f>SUM(AJ154)</f>
        <v>226016021</v>
      </c>
      <c r="AK153" s="747">
        <f t="shared" si="173"/>
        <v>0.35875558888888887</v>
      </c>
      <c r="AL153" s="761"/>
      <c r="AM153" s="761"/>
      <c r="AN153" s="210"/>
      <c r="AO153" s="928"/>
      <c r="AP153" s="213"/>
      <c r="AQ153" s="213"/>
    </row>
    <row r="154" spans="1:43" ht="51.75" thickBot="1" x14ac:dyDescent="0.3">
      <c r="A154" s="265" t="s">
        <v>613</v>
      </c>
      <c r="B154" s="827" t="s">
        <v>878</v>
      </c>
      <c r="C154" s="828">
        <v>1</v>
      </c>
      <c r="D154" s="829">
        <v>1</v>
      </c>
      <c r="E154" s="778">
        <v>1</v>
      </c>
      <c r="F154" s="779">
        <v>1</v>
      </c>
      <c r="G154" s="779"/>
      <c r="H154" s="780">
        <f t="shared" ref="H154" si="186">IF((E154+G154)/C154&gt;=100%,100%,(E154+G154)/C154)</f>
        <v>1</v>
      </c>
      <c r="I154" s="772">
        <f t="shared" ref="I154" si="187">IF(F154/D154&gt;=100%,100%,F154/D154)</f>
        <v>1</v>
      </c>
      <c r="J154" s="791" t="s">
        <v>989</v>
      </c>
      <c r="K154" s="783"/>
      <c r="L154" s="781"/>
      <c r="M154" s="782"/>
      <c r="N154" s="783"/>
      <c r="O154" s="824"/>
      <c r="P154" s="824"/>
      <c r="Q154" s="824"/>
      <c r="R154" s="784"/>
      <c r="S154" s="824"/>
      <c r="T154" s="817">
        <v>4</v>
      </c>
      <c r="U154" s="739">
        <f>SUM(E154:G154)</f>
        <v>2</v>
      </c>
      <c r="V154" s="575">
        <f t="shared" ref="V154" si="188">IF(U154/T154&gt;=100%,100%,U154/T154)</f>
        <v>0.5</v>
      </c>
      <c r="W154" s="780">
        <v>1</v>
      </c>
      <c r="X154" s="806">
        <v>1</v>
      </c>
      <c r="Y154" s="787">
        <v>160000000</v>
      </c>
      <c r="Z154" s="802">
        <v>68500000</v>
      </c>
      <c r="AA154" s="787">
        <v>157516021</v>
      </c>
      <c r="AB154" s="788">
        <f t="shared" si="149"/>
        <v>0.98447513124999997</v>
      </c>
      <c r="AC154" s="787">
        <v>152164275</v>
      </c>
      <c r="AD154" s="772">
        <f t="shared" si="154"/>
        <v>0.95102671875</v>
      </c>
      <c r="AE154" s="789">
        <f>+AA154-AC154</f>
        <v>5351746</v>
      </c>
      <c r="AF154" s="1556">
        <v>38500000</v>
      </c>
      <c r="AG154" s="802">
        <v>38500000</v>
      </c>
      <c r="AH154" s="581">
        <f t="shared" si="155"/>
        <v>1</v>
      </c>
      <c r="AI154" s="790">
        <v>630000000</v>
      </c>
      <c r="AJ154" s="790">
        <f t="shared" si="185"/>
        <v>226016021</v>
      </c>
      <c r="AK154" s="1652">
        <f t="shared" si="173"/>
        <v>0.35875558888888887</v>
      </c>
      <c r="AL154" s="741"/>
      <c r="AM154" s="741"/>
      <c r="AN154" s="791" t="s">
        <v>21</v>
      </c>
      <c r="AO154" s="1786" t="s">
        <v>918</v>
      </c>
      <c r="AP154" s="586"/>
      <c r="AQ154" s="586"/>
    </row>
    <row r="155" spans="1:43" ht="13.5" thickBot="1" x14ac:dyDescent="0.3">
      <c r="A155" s="742" t="s">
        <v>482</v>
      </c>
      <c r="B155" s="743"/>
      <c r="C155" s="744"/>
      <c r="D155" s="745"/>
      <c r="E155" s="746"/>
      <c r="F155" s="744"/>
      <c r="G155" s="744"/>
      <c r="H155" s="747">
        <v>0</v>
      </c>
      <c r="I155" s="748">
        <f>+SUMPRODUCT(I156:I156,X156:X156)</f>
        <v>0</v>
      </c>
      <c r="J155" s="750"/>
      <c r="K155" s="743"/>
      <c r="L155" s="749"/>
      <c r="M155" s="750"/>
      <c r="N155" s="750"/>
      <c r="O155" s="749"/>
      <c r="P155" s="749"/>
      <c r="Q155" s="749"/>
      <c r="R155" s="752"/>
      <c r="S155" s="749"/>
      <c r="T155" s="826"/>
      <c r="U155" s="754"/>
      <c r="V155" s="755">
        <f>+SUMPRODUCT(V156:V156,W156:W156)</f>
        <v>0</v>
      </c>
      <c r="W155" s="747">
        <v>0.3</v>
      </c>
      <c r="X155" s="756">
        <v>0.3</v>
      </c>
      <c r="Y155" s="757">
        <f>SUM(Y156)</f>
        <v>180000000</v>
      </c>
      <c r="Z155" s="757">
        <f>SUM(Z156)</f>
        <v>0</v>
      </c>
      <c r="AA155" s="757">
        <f>SUM(AA156)</f>
        <v>177169834</v>
      </c>
      <c r="AB155" s="758">
        <f t="shared" si="149"/>
        <v>0.98427685555555555</v>
      </c>
      <c r="AC155" s="757">
        <f>SUM(AC156)</f>
        <v>166698402</v>
      </c>
      <c r="AD155" s="748">
        <f t="shared" si="154"/>
        <v>0.9261022333333333</v>
      </c>
      <c r="AE155" s="928">
        <f>SUM(AE156)</f>
        <v>10471432</v>
      </c>
      <c r="AF155" s="750">
        <f>SUM(AF156)</f>
        <v>0</v>
      </c>
      <c r="AG155" s="757">
        <f>SUM(AG156)</f>
        <v>0</v>
      </c>
      <c r="AH155" s="760" t="e">
        <f t="shared" si="155"/>
        <v>#DIV/0!</v>
      </c>
      <c r="AI155" s="757">
        <f t="shared" ref="AI155:AJ155" si="189">SUM(AI156)</f>
        <v>400000000</v>
      </c>
      <c r="AJ155" s="757">
        <f t="shared" si="189"/>
        <v>177169834</v>
      </c>
      <c r="AK155" s="747">
        <f t="shared" si="173"/>
        <v>0.44292458499999998</v>
      </c>
      <c r="AL155" s="761"/>
      <c r="AM155" s="761"/>
      <c r="AN155" s="210"/>
      <c r="AO155" s="928"/>
      <c r="AP155" s="213"/>
      <c r="AQ155" s="213"/>
    </row>
    <row r="156" spans="1:43" ht="63.75" x14ac:dyDescent="0.25">
      <c r="A156" s="264" t="s">
        <v>614</v>
      </c>
      <c r="B156" s="355" t="s">
        <v>797</v>
      </c>
      <c r="C156" s="823">
        <v>0</v>
      </c>
      <c r="D156" s="818">
        <v>1</v>
      </c>
      <c r="E156" s="727">
        <v>0</v>
      </c>
      <c r="F156" s="728">
        <v>0</v>
      </c>
      <c r="G156" s="728"/>
      <c r="H156" s="729" t="e">
        <f t="shared" ref="H156" si="190">IF((E156+G156)/C156&gt;=100%,100%,(E156+G156)/C156)</f>
        <v>#DIV/0!</v>
      </c>
      <c r="I156" s="730">
        <f t="shared" ref="I156" si="191">IF(F156/D156&gt;=100%,100%,F156/D156)</f>
        <v>0</v>
      </c>
      <c r="J156" s="791" t="s">
        <v>990</v>
      </c>
      <c r="K156" s="783"/>
      <c r="L156" s="731"/>
      <c r="M156" s="732"/>
      <c r="N156" s="585"/>
      <c r="O156" s="824"/>
      <c r="P156" s="824"/>
      <c r="Q156" s="824"/>
      <c r="R156" s="734"/>
      <c r="S156" s="824"/>
      <c r="T156" s="817">
        <v>2</v>
      </c>
      <c r="U156" s="736">
        <f>SUM(E156:G156)</f>
        <v>0</v>
      </c>
      <c r="V156" s="170">
        <f t="shared" ref="V156" si="192">IF(U156/T156&gt;=100%,100%,U156/T156)</f>
        <v>0</v>
      </c>
      <c r="W156" s="729">
        <v>1</v>
      </c>
      <c r="X156" s="737">
        <v>1</v>
      </c>
      <c r="Y156" s="473">
        <v>180000000</v>
      </c>
      <c r="Z156" s="284">
        <v>0</v>
      </c>
      <c r="AA156" s="473">
        <v>177169834</v>
      </c>
      <c r="AB156" s="738">
        <f t="shared" si="149"/>
        <v>0.98427685555555555</v>
      </c>
      <c r="AC156" s="473">
        <v>166698402</v>
      </c>
      <c r="AD156" s="772">
        <f t="shared" si="154"/>
        <v>0.9261022333333333</v>
      </c>
      <c r="AE156" s="773">
        <f>+AA156-AC156</f>
        <v>10471432</v>
      </c>
      <c r="AF156" s="1557">
        <v>0</v>
      </c>
      <c r="AG156" s="284">
        <v>0</v>
      </c>
      <c r="AH156" s="506" t="e">
        <f t="shared" si="155"/>
        <v>#DIV/0!</v>
      </c>
      <c r="AI156" s="740">
        <v>400000000</v>
      </c>
      <c r="AJ156" s="740">
        <f t="shared" si="185"/>
        <v>177169834</v>
      </c>
      <c r="AK156" s="1652">
        <f t="shared" si="173"/>
        <v>0.44292458499999998</v>
      </c>
      <c r="AL156" s="741"/>
      <c r="AM156" s="171"/>
      <c r="AN156" s="591" t="s">
        <v>302</v>
      </c>
      <c r="AO156" s="825" t="s">
        <v>918</v>
      </c>
      <c r="AP156" s="1808"/>
      <c r="AQ156" s="1809"/>
    </row>
    <row r="157" spans="1:43" s="554" customFormat="1" ht="26.25" thickBot="1" x14ac:dyDescent="0.3">
      <c r="A157" s="716" t="s">
        <v>438</v>
      </c>
      <c r="B157" s="160"/>
      <c r="C157" s="717"/>
      <c r="D157" s="718"/>
      <c r="E157" s="719"/>
      <c r="F157" s="717"/>
      <c r="G157" s="717"/>
      <c r="H157" s="722">
        <f>+(H158*45%)+(H161*20%)+(H163*35%)</f>
        <v>0.9</v>
      </c>
      <c r="I157" s="518">
        <f>+(I158*X158)+(I161*X161)+(I163*X163)+(I165*X165)</f>
        <v>1</v>
      </c>
      <c r="J157" s="592"/>
      <c r="K157" s="570"/>
      <c r="L157" s="161"/>
      <c r="M157" s="587"/>
      <c r="N157" s="587"/>
      <c r="O157" s="215"/>
      <c r="P157" s="215"/>
      <c r="Q157" s="215"/>
      <c r="R157" s="721"/>
      <c r="S157" s="215"/>
      <c r="T157" s="216"/>
      <c r="U157" s="209"/>
      <c r="V157" s="1686">
        <f>+(V158*W158)+(V161*W161)+(V163*W163)+(V165*W165)</f>
        <v>0.31125000000000003</v>
      </c>
      <c r="W157" s="722">
        <v>0.1</v>
      </c>
      <c r="X157" s="723">
        <v>0.14000000000000001</v>
      </c>
      <c r="Y157" s="724">
        <f>+Y158+Y161+Y163+Y165</f>
        <v>510000000</v>
      </c>
      <c r="Z157" s="724">
        <f>+Z158+Z161+Z163+Z165</f>
        <v>519650000</v>
      </c>
      <c r="AA157" s="724">
        <f>+AA158+AA161+AA163+AA165</f>
        <v>486929495</v>
      </c>
      <c r="AB157" s="725">
        <f t="shared" si="149"/>
        <v>0.95476371568627449</v>
      </c>
      <c r="AC157" s="724">
        <f>+AC158+AC161+AC163+AC165</f>
        <v>447174904</v>
      </c>
      <c r="AD157" s="518">
        <f t="shared" si="154"/>
        <v>0.87681353725490196</v>
      </c>
      <c r="AE157" s="160">
        <f>+AE158+AE161+AE163+AE165</f>
        <v>39754591</v>
      </c>
      <c r="AF157" s="587">
        <f>+AF158+AF161+AF163+AF165</f>
        <v>410600000</v>
      </c>
      <c r="AG157" s="724">
        <f>+AG158+AG161+AG163+AG165</f>
        <v>320578348</v>
      </c>
      <c r="AH157" s="726">
        <f t="shared" si="155"/>
        <v>0.78075584023380418</v>
      </c>
      <c r="AI157" s="724">
        <f t="shared" ref="AI157:AJ157" si="193">+AI158+AI161+AI163+AI165</f>
        <v>3900000000</v>
      </c>
      <c r="AJ157" s="724">
        <f t="shared" si="193"/>
        <v>1006579495</v>
      </c>
      <c r="AK157" s="722">
        <f t="shared" si="173"/>
        <v>0.25809730641025641</v>
      </c>
      <c r="AL157" s="161"/>
      <c r="AM157" s="161" t="s">
        <v>297</v>
      </c>
      <c r="AN157" s="587"/>
      <c r="AO157" s="160"/>
      <c r="AP157" s="592"/>
      <c r="AQ157" s="592"/>
    </row>
    <row r="158" spans="1:43" ht="13.5" thickBot="1" x14ac:dyDescent="0.3">
      <c r="A158" s="742" t="s">
        <v>483</v>
      </c>
      <c r="B158" s="743"/>
      <c r="C158" s="744"/>
      <c r="D158" s="745"/>
      <c r="E158" s="746"/>
      <c r="F158" s="744"/>
      <c r="G158" s="744"/>
      <c r="H158" s="747">
        <f>+(H159*100%)</f>
        <v>1</v>
      </c>
      <c r="I158" s="748">
        <f>+SUMPRODUCT(I159:I160,X159:X160)</f>
        <v>1</v>
      </c>
      <c r="J158" s="213"/>
      <c r="K158" s="211"/>
      <c r="L158" s="749"/>
      <c r="M158" s="750"/>
      <c r="N158" s="750"/>
      <c r="O158" s="751"/>
      <c r="P158" s="751"/>
      <c r="Q158" s="751"/>
      <c r="R158" s="752"/>
      <c r="S158" s="751"/>
      <c r="T158" s="753"/>
      <c r="U158" s="754"/>
      <c r="V158" s="755">
        <f>+SUMPRODUCT(V159:V160,W159:W160)</f>
        <v>0.2</v>
      </c>
      <c r="W158" s="747">
        <v>0.4</v>
      </c>
      <c r="X158" s="756">
        <v>0.45</v>
      </c>
      <c r="Y158" s="757">
        <f>SUM(Y159:Y160)</f>
        <v>180000000</v>
      </c>
      <c r="Z158" s="757">
        <f>SUM(Z159:Z160)</f>
        <v>143950000</v>
      </c>
      <c r="AA158" s="757">
        <f>SUM(AA159:AA160)</f>
        <v>162054527</v>
      </c>
      <c r="AB158" s="758">
        <f t="shared" si="149"/>
        <v>0.90030292777777776</v>
      </c>
      <c r="AC158" s="757">
        <f>SUM(AC159:AC160)</f>
        <v>149235219</v>
      </c>
      <c r="AD158" s="748">
        <f t="shared" si="154"/>
        <v>0.82908455000000003</v>
      </c>
      <c r="AE158" s="928">
        <f>SUM(AE159:AE160)</f>
        <v>12819308</v>
      </c>
      <c r="AF158" s="750">
        <f>SUM(AF159:AF160)</f>
        <v>60600000</v>
      </c>
      <c r="AG158" s="757">
        <f>SUM(AG159:AG160)</f>
        <v>60600000</v>
      </c>
      <c r="AH158" s="760">
        <f t="shared" si="155"/>
        <v>1</v>
      </c>
      <c r="AI158" s="757">
        <f t="shared" ref="AI158:AJ158" si="194">SUM(AI159:AI160)</f>
        <v>1800000000</v>
      </c>
      <c r="AJ158" s="757">
        <f t="shared" si="194"/>
        <v>306004527</v>
      </c>
      <c r="AK158" s="747">
        <f t="shared" si="173"/>
        <v>0.17000251499999999</v>
      </c>
      <c r="AL158" s="761"/>
      <c r="AM158" s="761"/>
      <c r="AN158" s="210"/>
      <c r="AO158" s="928"/>
      <c r="AP158" s="213"/>
      <c r="AQ158" s="213"/>
    </row>
    <row r="159" spans="1:43" ht="140.25" x14ac:dyDescent="0.25">
      <c r="A159" s="263" t="s">
        <v>615</v>
      </c>
      <c r="B159" s="803" t="s">
        <v>879</v>
      </c>
      <c r="C159" s="771">
        <v>23</v>
      </c>
      <c r="D159" s="818">
        <v>23</v>
      </c>
      <c r="E159" s="819">
        <v>23</v>
      </c>
      <c r="F159" s="728">
        <v>23</v>
      </c>
      <c r="G159" s="728"/>
      <c r="H159" s="729">
        <f t="shared" ref="H159" si="195">IF((E159+G159)/C159&gt;=100%,100%,(E159+G159)/C159)</f>
        <v>1</v>
      </c>
      <c r="I159" s="730">
        <f t="shared" ref="I159" si="196">IF(F159/D159&gt;=100%,100%,F159/D159)</f>
        <v>1</v>
      </c>
      <c r="J159" s="586" t="s">
        <v>991</v>
      </c>
      <c r="K159" s="563"/>
      <c r="L159" s="731"/>
      <c r="M159" s="732"/>
      <c r="N159" s="585"/>
      <c r="O159" s="733"/>
      <c r="P159" s="733"/>
      <c r="Q159" s="733"/>
      <c r="R159" s="734"/>
      <c r="S159" s="733"/>
      <c r="T159" s="817">
        <f>23*4</f>
        <v>92</v>
      </c>
      <c r="U159" s="736">
        <f>SUM(E159:G159)</f>
        <v>46</v>
      </c>
      <c r="V159" s="1684">
        <f t="shared" ref="V159" si="197">IF(U159/T159&gt;=100%,100%,U159/T159)</f>
        <v>0.5</v>
      </c>
      <c r="W159" s="1650">
        <v>0.4</v>
      </c>
      <c r="X159" s="1651">
        <v>1</v>
      </c>
      <c r="Y159" s="474">
        <v>180000000</v>
      </c>
      <c r="Z159" s="285">
        <v>143950000</v>
      </c>
      <c r="AA159" s="474">
        <v>162054527</v>
      </c>
      <c r="AB159" s="1596">
        <f t="shared" si="149"/>
        <v>0.90030292777777776</v>
      </c>
      <c r="AC159" s="474">
        <v>149235219</v>
      </c>
      <c r="AD159" s="1674">
        <f t="shared" si="154"/>
        <v>0.82908455000000003</v>
      </c>
      <c r="AE159" s="1598">
        <f>+AA159-AC159</f>
        <v>12819308</v>
      </c>
      <c r="AF159" s="1558">
        <v>60600000</v>
      </c>
      <c r="AG159" s="285">
        <v>60600000</v>
      </c>
      <c r="AH159" s="1097">
        <f t="shared" si="155"/>
        <v>1</v>
      </c>
      <c r="AI159" s="1599">
        <v>800000000</v>
      </c>
      <c r="AJ159" s="1599">
        <f t="shared" ref="AJ159:AJ160" si="198">+SUM(Z159:AA159)</f>
        <v>306004527</v>
      </c>
      <c r="AK159" s="1652">
        <f t="shared" si="173"/>
        <v>0.38250565874999998</v>
      </c>
      <c r="AL159" s="1671"/>
      <c r="AM159" s="1600"/>
      <c r="AN159" s="591" t="s">
        <v>27</v>
      </c>
      <c r="AO159" s="1787" t="s">
        <v>919</v>
      </c>
      <c r="AP159" s="595"/>
      <c r="AQ159" s="595"/>
    </row>
    <row r="160" spans="1:43" ht="26.25" thickBot="1" x14ac:dyDescent="0.3">
      <c r="A160" s="762" t="s">
        <v>616</v>
      </c>
      <c r="B160" s="763" t="s">
        <v>798</v>
      </c>
      <c r="C160" s="799">
        <v>0</v>
      </c>
      <c r="D160" s="811">
        <v>0</v>
      </c>
      <c r="E160" s="814">
        <v>0</v>
      </c>
      <c r="F160" s="573">
        <v>0</v>
      </c>
      <c r="G160" s="573"/>
      <c r="H160" s="561" t="e">
        <f t="shared" ref="H160" si="199">IF((E160+G160)/C160&gt;=100%,100%,(E160+G160)/C160)</f>
        <v>#DIV/0!</v>
      </c>
      <c r="I160" s="557">
        <v>0</v>
      </c>
      <c r="J160" s="594"/>
      <c r="K160" s="569"/>
      <c r="L160" s="177"/>
      <c r="M160" s="178"/>
      <c r="N160" s="568"/>
      <c r="O160" s="173"/>
      <c r="P160" s="173"/>
      <c r="Q160" s="173"/>
      <c r="R160" s="574"/>
      <c r="S160" s="173"/>
      <c r="T160" s="192">
        <v>1</v>
      </c>
      <c r="U160" s="555">
        <f>SUM(E160:G160)</f>
        <v>0</v>
      </c>
      <c r="V160" s="1679">
        <f t="shared" ref="V160" si="200">IF(U160/T160&gt;=100%,100%,U160/T160)</f>
        <v>0</v>
      </c>
      <c r="W160" s="1654">
        <v>0.6</v>
      </c>
      <c r="X160" s="1655">
        <v>0</v>
      </c>
      <c r="Y160" s="815" t="s">
        <v>892</v>
      </c>
      <c r="Z160" s="812" t="s">
        <v>892</v>
      </c>
      <c r="AA160" s="812" t="s">
        <v>892</v>
      </c>
      <c r="AB160" s="1610" t="e">
        <f t="shared" si="149"/>
        <v>#DIV/0!</v>
      </c>
      <c r="AC160" s="769">
        <v>0</v>
      </c>
      <c r="AD160" s="935" t="e">
        <f t="shared" si="154"/>
        <v>#DIV/0!</v>
      </c>
      <c r="AE160" s="1611"/>
      <c r="AF160" s="1559" t="s">
        <v>892</v>
      </c>
      <c r="AG160" s="812" t="s">
        <v>892</v>
      </c>
      <c r="AH160" s="1612" t="e">
        <f t="shared" si="155"/>
        <v>#DIV/0!</v>
      </c>
      <c r="AI160" s="1614">
        <v>1000000000</v>
      </c>
      <c r="AJ160" s="1614">
        <f t="shared" si="198"/>
        <v>0</v>
      </c>
      <c r="AK160" s="894">
        <f t="shared" si="173"/>
        <v>0</v>
      </c>
      <c r="AL160" s="1615"/>
      <c r="AM160" s="1615"/>
      <c r="AN160" s="589" t="s">
        <v>302</v>
      </c>
      <c r="AO160" s="1788" t="s">
        <v>895</v>
      </c>
      <c r="AP160" s="594"/>
      <c r="AQ160" s="594"/>
    </row>
    <row r="161" spans="1:43" ht="13.5" thickBot="1" x14ac:dyDescent="0.3">
      <c r="A161" s="742" t="s">
        <v>484</v>
      </c>
      <c r="B161" s="743"/>
      <c r="C161" s="744"/>
      <c r="D161" s="745"/>
      <c r="E161" s="746"/>
      <c r="F161" s="744"/>
      <c r="G161" s="744"/>
      <c r="H161" s="747">
        <f>+SUMPRODUCT(H162:H162,W162:W162)</f>
        <v>0.5</v>
      </c>
      <c r="I161" s="748">
        <f>+SUMPRODUCT(I162:I162,X162:X162)</f>
        <v>1</v>
      </c>
      <c r="J161" s="213"/>
      <c r="K161" s="211"/>
      <c r="L161" s="749"/>
      <c r="M161" s="750"/>
      <c r="N161" s="750"/>
      <c r="O161" s="751"/>
      <c r="P161" s="751"/>
      <c r="Q161" s="751"/>
      <c r="R161" s="752"/>
      <c r="S161" s="751"/>
      <c r="T161" s="753"/>
      <c r="U161" s="754"/>
      <c r="V161" s="997">
        <f>+SUMPRODUCT(V162:V162,W162:W162)</f>
        <v>0.375</v>
      </c>
      <c r="W161" s="747">
        <v>0.15</v>
      </c>
      <c r="X161" s="756">
        <v>0.2</v>
      </c>
      <c r="Y161" s="757">
        <f>SUM(Y162)</f>
        <v>100000000</v>
      </c>
      <c r="Z161" s="757">
        <f>SUM(Z162)</f>
        <v>25700000</v>
      </c>
      <c r="AA161" s="757">
        <f>SUM(AA162)</f>
        <v>98446960</v>
      </c>
      <c r="AB161" s="758">
        <f t="shared" si="149"/>
        <v>0.98446959999999994</v>
      </c>
      <c r="AC161" s="757">
        <f>SUM(AC162)</f>
        <v>79318503</v>
      </c>
      <c r="AD161" s="748">
        <f t="shared" si="154"/>
        <v>0.79318502999999996</v>
      </c>
      <c r="AE161" s="928">
        <f>SUM(AE162)</f>
        <v>19128457</v>
      </c>
      <c r="AF161" s="750">
        <f>SUM(AF162)</f>
        <v>0</v>
      </c>
      <c r="AG161" s="757">
        <f>SUM(AG162)</f>
        <v>0</v>
      </c>
      <c r="AH161" s="760" t="e">
        <f t="shared" si="155"/>
        <v>#DIV/0!</v>
      </c>
      <c r="AI161" s="757">
        <f t="shared" ref="AI161:AJ161" si="201">SUM(AI162)</f>
        <v>400000000</v>
      </c>
      <c r="AJ161" s="757">
        <f t="shared" si="201"/>
        <v>124146960</v>
      </c>
      <c r="AK161" s="747">
        <f t="shared" si="173"/>
        <v>0.31036740000000002</v>
      </c>
      <c r="AL161" s="761"/>
      <c r="AM161" s="761"/>
      <c r="AN161" s="210"/>
      <c r="AO161" s="928"/>
      <c r="AP161" s="213"/>
      <c r="AQ161" s="213"/>
    </row>
    <row r="162" spans="1:43" ht="64.5" thickBot="1" x14ac:dyDescent="0.3">
      <c r="A162" s="265" t="s">
        <v>617</v>
      </c>
      <c r="B162" s="775" t="s">
        <v>799</v>
      </c>
      <c r="C162" s="776">
        <v>24</v>
      </c>
      <c r="D162" s="816">
        <v>24</v>
      </c>
      <c r="E162" s="778">
        <v>0</v>
      </c>
      <c r="F162" s="779">
        <v>24</v>
      </c>
      <c r="G162" s="779">
        <v>12</v>
      </c>
      <c r="H162" s="780">
        <f t="shared" ref="H162" si="202">IF((E162+G162)/C162&gt;=100%,100%,(E162+G162)/C162)</f>
        <v>0.5</v>
      </c>
      <c r="I162" s="772">
        <f t="shared" ref="I162" si="203">IF(F162/D162&gt;=100%,100%,F162/D162)</f>
        <v>1</v>
      </c>
      <c r="J162" s="586" t="s">
        <v>992</v>
      </c>
      <c r="K162" s="563"/>
      <c r="L162" s="781"/>
      <c r="M162" s="782"/>
      <c r="N162" s="783"/>
      <c r="O162" s="733"/>
      <c r="P162" s="733"/>
      <c r="Q162" s="733"/>
      <c r="R162" s="784"/>
      <c r="S162" s="733"/>
      <c r="T162" s="817">
        <v>96</v>
      </c>
      <c r="U162" s="739">
        <f>SUM(E162:G162)</f>
        <v>36</v>
      </c>
      <c r="V162" s="1679">
        <f t="shared" ref="V162" si="204">IF(U162/T162&gt;=100%,100%,U162/T162)</f>
        <v>0.375</v>
      </c>
      <c r="W162" s="805">
        <v>1</v>
      </c>
      <c r="X162" s="806">
        <v>1</v>
      </c>
      <c r="Y162" s="787">
        <v>100000000</v>
      </c>
      <c r="Z162" s="802">
        <v>25700000</v>
      </c>
      <c r="AA162" s="787">
        <v>98446960</v>
      </c>
      <c r="AB162" s="788">
        <f t="shared" si="149"/>
        <v>0.98446959999999994</v>
      </c>
      <c r="AC162" s="787">
        <v>79318503</v>
      </c>
      <c r="AD162" s="772">
        <f t="shared" si="154"/>
        <v>0.79318502999999996</v>
      </c>
      <c r="AE162" s="789">
        <f>+AA162-AC162</f>
        <v>19128457</v>
      </c>
      <c r="AF162" s="1559" t="s">
        <v>892</v>
      </c>
      <c r="AG162" s="812" t="s">
        <v>892</v>
      </c>
      <c r="AH162" s="581" t="e">
        <f t="shared" si="155"/>
        <v>#DIV/0!</v>
      </c>
      <c r="AI162" s="790">
        <v>400000000</v>
      </c>
      <c r="AJ162" s="790">
        <f t="shared" ref="AJ162" si="205">+SUM(Z162:AA162)</f>
        <v>124146960</v>
      </c>
      <c r="AK162" s="1652">
        <f t="shared" si="173"/>
        <v>0.31036740000000002</v>
      </c>
      <c r="AL162" s="741"/>
      <c r="AM162" s="741"/>
      <c r="AN162" s="791" t="s">
        <v>302</v>
      </c>
      <c r="AO162" s="1786" t="s">
        <v>895</v>
      </c>
      <c r="AP162" s="586"/>
      <c r="AQ162" s="586"/>
    </row>
    <row r="163" spans="1:43" ht="13.5" thickBot="1" x14ac:dyDescent="0.3">
      <c r="A163" s="742" t="s">
        <v>485</v>
      </c>
      <c r="B163" s="743"/>
      <c r="C163" s="744"/>
      <c r="D163" s="745"/>
      <c r="E163" s="746"/>
      <c r="F163" s="744"/>
      <c r="G163" s="744"/>
      <c r="H163" s="747">
        <f>+SUMPRODUCT(H164:H164,W164:W164)</f>
        <v>1</v>
      </c>
      <c r="I163" s="748">
        <f>+SUMPRODUCT(I164:I164,X164:X164)</f>
        <v>0</v>
      </c>
      <c r="J163" s="213"/>
      <c r="K163" s="211"/>
      <c r="L163" s="749"/>
      <c r="M163" s="750"/>
      <c r="N163" s="750"/>
      <c r="O163" s="751"/>
      <c r="P163" s="751"/>
      <c r="Q163" s="751"/>
      <c r="R163" s="752"/>
      <c r="S163" s="751"/>
      <c r="T163" s="753"/>
      <c r="U163" s="754"/>
      <c r="V163" s="755">
        <f>+SUMPRODUCT(V164:V164,W164:W164)</f>
        <v>0.33333333333333331</v>
      </c>
      <c r="W163" s="747">
        <v>0.3</v>
      </c>
      <c r="X163" s="756">
        <v>0</v>
      </c>
      <c r="Y163" s="757">
        <f>SUM(Y164)</f>
        <v>0</v>
      </c>
      <c r="Z163" s="757">
        <f>SUM(Z164)</f>
        <v>350000000</v>
      </c>
      <c r="AA163" s="757">
        <f>SUM(AA164)</f>
        <v>0</v>
      </c>
      <c r="AB163" s="758" t="e">
        <f t="shared" si="149"/>
        <v>#DIV/0!</v>
      </c>
      <c r="AC163" s="757">
        <f>SUM(AC164)</f>
        <v>0</v>
      </c>
      <c r="AD163" s="754" t="e">
        <f t="shared" si="154"/>
        <v>#DIV/0!</v>
      </c>
      <c r="AE163" s="928">
        <f>SUM(AE164)</f>
        <v>0</v>
      </c>
      <c r="AF163" s="750">
        <f>SUM(AF164)</f>
        <v>350000000</v>
      </c>
      <c r="AG163" s="757">
        <f>SUM(AG164)</f>
        <v>259978348</v>
      </c>
      <c r="AH163" s="760">
        <f t="shared" si="155"/>
        <v>0.74279527999999995</v>
      </c>
      <c r="AI163" s="757">
        <f t="shared" ref="AI163:AJ163" si="206">SUM(AI164)</f>
        <v>1200000000</v>
      </c>
      <c r="AJ163" s="757">
        <f t="shared" si="206"/>
        <v>350000000</v>
      </c>
      <c r="AK163" s="747">
        <f t="shared" si="173"/>
        <v>0.29166666666666669</v>
      </c>
      <c r="AL163" s="761"/>
      <c r="AM163" s="761"/>
      <c r="AN163" s="210"/>
      <c r="AO163" s="928"/>
      <c r="AP163" s="213"/>
      <c r="AQ163" s="213"/>
    </row>
    <row r="164" spans="1:43" ht="141" thickBot="1" x14ac:dyDescent="0.3">
      <c r="A164" s="762" t="s">
        <v>618</v>
      </c>
      <c r="B164" s="763" t="s">
        <v>800</v>
      </c>
      <c r="C164" s="776">
        <v>1</v>
      </c>
      <c r="D164" s="777">
        <v>0</v>
      </c>
      <c r="E164" s="778">
        <v>0</v>
      </c>
      <c r="F164" s="779">
        <v>0</v>
      </c>
      <c r="G164" s="779">
        <v>1</v>
      </c>
      <c r="H164" s="780">
        <f t="shared" ref="H164" si="207">IF((E164+G164)/C164&gt;=100%,100%,(E164+G164)/C164)</f>
        <v>1</v>
      </c>
      <c r="I164" s="772">
        <v>0</v>
      </c>
      <c r="J164" s="1687" t="s">
        <v>1121</v>
      </c>
      <c r="K164" s="563"/>
      <c r="L164" s="781"/>
      <c r="M164" s="782"/>
      <c r="N164" s="783"/>
      <c r="O164" s="733"/>
      <c r="P164" s="733"/>
      <c r="Q164" s="733"/>
      <c r="R164" s="784"/>
      <c r="S164" s="733"/>
      <c r="T164" s="735">
        <v>3</v>
      </c>
      <c r="U164" s="1678">
        <f>SUM(E164:G164)</f>
        <v>1</v>
      </c>
      <c r="V164" s="575">
        <f t="shared" ref="V164" si="208">IF(U164/T164&gt;=100%,100%,U164/T164)</f>
        <v>0.33333333333333331</v>
      </c>
      <c r="W164" s="805">
        <v>1</v>
      </c>
      <c r="X164" s="806">
        <v>0</v>
      </c>
      <c r="Y164" s="813">
        <v>0</v>
      </c>
      <c r="Z164" s="810">
        <v>350000000</v>
      </c>
      <c r="AA164" s="813">
        <v>0</v>
      </c>
      <c r="AB164" s="788" t="e">
        <f t="shared" si="149"/>
        <v>#DIV/0!</v>
      </c>
      <c r="AC164" s="813">
        <v>0</v>
      </c>
      <c r="AD164" s="739" t="e">
        <f t="shared" si="154"/>
        <v>#DIV/0!</v>
      </c>
      <c r="AE164" s="789"/>
      <c r="AF164" s="1560">
        <v>350000000</v>
      </c>
      <c r="AG164" s="810">
        <v>259978348</v>
      </c>
      <c r="AH164" s="581">
        <f t="shared" si="155"/>
        <v>0.74279527999999995</v>
      </c>
      <c r="AI164" s="790">
        <v>1200000000</v>
      </c>
      <c r="AJ164" s="790">
        <f t="shared" ref="AJ164:AJ166" si="209">+SUM(Z164:AA164)</f>
        <v>350000000</v>
      </c>
      <c r="AK164" s="1652">
        <f t="shared" si="173"/>
        <v>0.29166666666666669</v>
      </c>
      <c r="AL164" s="741"/>
      <c r="AM164" s="741"/>
      <c r="AN164" s="791" t="s">
        <v>302</v>
      </c>
      <c r="AO164" s="1789" t="s">
        <v>919</v>
      </c>
      <c r="AP164" s="586"/>
      <c r="AQ164" s="586"/>
    </row>
    <row r="165" spans="1:43" ht="13.5" thickBot="1" x14ac:dyDescent="0.3">
      <c r="A165" s="742" t="s">
        <v>486</v>
      </c>
      <c r="B165" s="743"/>
      <c r="C165" s="744"/>
      <c r="D165" s="745"/>
      <c r="E165" s="746"/>
      <c r="F165" s="744"/>
      <c r="G165" s="744"/>
      <c r="H165" s="747">
        <v>0</v>
      </c>
      <c r="I165" s="748">
        <f>+SUMPRODUCT(I166:I166,X166:X166)</f>
        <v>1</v>
      </c>
      <c r="J165" s="213"/>
      <c r="K165" s="211"/>
      <c r="L165" s="749"/>
      <c r="M165" s="750"/>
      <c r="N165" s="750"/>
      <c r="O165" s="751"/>
      <c r="P165" s="751"/>
      <c r="Q165" s="751"/>
      <c r="R165" s="752"/>
      <c r="S165" s="751"/>
      <c r="T165" s="753"/>
      <c r="U165" s="754"/>
      <c r="V165" s="755">
        <f>+SUMPRODUCT(V166:V166,W166:W166)</f>
        <v>0.5</v>
      </c>
      <c r="W165" s="747">
        <v>0.15</v>
      </c>
      <c r="X165" s="756">
        <v>0.35</v>
      </c>
      <c r="Y165" s="757">
        <f>SUM(Y166)</f>
        <v>230000000</v>
      </c>
      <c r="Z165" s="757">
        <f>SUM(Z166)</f>
        <v>0</v>
      </c>
      <c r="AA165" s="757">
        <f>SUM(AA166)</f>
        <v>226428008</v>
      </c>
      <c r="AB165" s="758">
        <f t="shared" si="149"/>
        <v>0.98446959999999994</v>
      </c>
      <c r="AC165" s="757">
        <f>SUM(AC166)</f>
        <v>218621182</v>
      </c>
      <c r="AD165" s="748">
        <f t="shared" si="154"/>
        <v>0.95052687826086957</v>
      </c>
      <c r="AE165" s="928">
        <f>SUM(AE166)</f>
        <v>7806826</v>
      </c>
      <c r="AF165" s="750">
        <f>SUM(AF166)</f>
        <v>0</v>
      </c>
      <c r="AG165" s="757">
        <f>SUM(AG166)</f>
        <v>0</v>
      </c>
      <c r="AH165" s="760" t="e">
        <f t="shared" si="155"/>
        <v>#DIV/0!</v>
      </c>
      <c r="AI165" s="757">
        <f t="shared" ref="AI165:AJ165" si="210">SUM(AI166)</f>
        <v>500000000</v>
      </c>
      <c r="AJ165" s="757">
        <f t="shared" si="210"/>
        <v>226428008</v>
      </c>
      <c r="AK165" s="747">
        <f t="shared" si="173"/>
        <v>0.45285601599999997</v>
      </c>
      <c r="AL165" s="761"/>
      <c r="AM165" s="761"/>
      <c r="AN165" s="210"/>
      <c r="AO165" s="928"/>
      <c r="AP165" s="213"/>
      <c r="AQ165" s="213"/>
    </row>
    <row r="166" spans="1:43" ht="179.25" thickBot="1" x14ac:dyDescent="0.3">
      <c r="A166" s="265" t="s">
        <v>619</v>
      </c>
      <c r="B166" s="775" t="s">
        <v>801</v>
      </c>
      <c r="C166" s="776">
        <v>0</v>
      </c>
      <c r="D166" s="777">
        <v>1</v>
      </c>
      <c r="E166" s="778">
        <v>0</v>
      </c>
      <c r="F166" s="779">
        <v>1</v>
      </c>
      <c r="G166" s="779"/>
      <c r="H166" s="780" t="e">
        <f t="shared" ref="H166" si="211">IF((E166+G166)/C166&gt;=100%,100%,(E166+G166)/C166)</f>
        <v>#DIV/0!</v>
      </c>
      <c r="I166" s="772">
        <f t="shared" ref="I166" si="212">IF(F166/D166&gt;=100%,100%,F166/D166)</f>
        <v>1</v>
      </c>
      <c r="J166" s="586" t="s">
        <v>993</v>
      </c>
      <c r="K166" s="563"/>
      <c r="L166" s="781"/>
      <c r="M166" s="782"/>
      <c r="N166" s="783"/>
      <c r="O166" s="733"/>
      <c r="P166" s="733"/>
      <c r="Q166" s="733"/>
      <c r="R166" s="784"/>
      <c r="S166" s="733"/>
      <c r="T166" s="735">
        <v>2</v>
      </c>
      <c r="U166" s="739">
        <f>SUM(E166:G166)</f>
        <v>1</v>
      </c>
      <c r="V166" s="575">
        <f t="shared" ref="V166" si="213">IF(U166/T166&gt;=100%,100%,U166/T166)</f>
        <v>0.5</v>
      </c>
      <c r="W166" s="805">
        <v>1</v>
      </c>
      <c r="X166" s="806">
        <v>1</v>
      </c>
      <c r="Y166" s="787">
        <v>230000000</v>
      </c>
      <c r="Z166" s="810">
        <v>0</v>
      </c>
      <c r="AA166" s="787">
        <v>226428008</v>
      </c>
      <c r="AB166" s="788">
        <f t="shared" si="149"/>
        <v>0.98446959999999994</v>
      </c>
      <c r="AC166" s="787">
        <v>218621182</v>
      </c>
      <c r="AD166" s="772">
        <f t="shared" si="154"/>
        <v>0.95052687826086957</v>
      </c>
      <c r="AE166" s="789">
        <f>+AA166-AC166</f>
        <v>7806826</v>
      </c>
      <c r="AF166" s="1560">
        <v>0</v>
      </c>
      <c r="AG166" s="810">
        <v>0</v>
      </c>
      <c r="AH166" s="581" t="e">
        <f t="shared" si="155"/>
        <v>#DIV/0!</v>
      </c>
      <c r="AI166" s="790">
        <v>500000000</v>
      </c>
      <c r="AJ166" s="790">
        <f t="shared" si="209"/>
        <v>226428008</v>
      </c>
      <c r="AK166" s="1652">
        <f t="shared" si="173"/>
        <v>0.45285601599999997</v>
      </c>
      <c r="AL166" s="741"/>
      <c r="AM166" s="741"/>
      <c r="AN166" s="791" t="s">
        <v>302</v>
      </c>
      <c r="AO166" s="1790" t="s">
        <v>895</v>
      </c>
      <c r="AP166" s="586"/>
      <c r="AQ166" s="586"/>
    </row>
    <row r="167" spans="1:43" s="554" customFormat="1" ht="39" thickBot="1" x14ac:dyDescent="0.3">
      <c r="A167" s="628" t="s">
        <v>439</v>
      </c>
      <c r="B167" s="629"/>
      <c r="C167" s="630"/>
      <c r="D167" s="631"/>
      <c r="E167" s="632"/>
      <c r="F167" s="630"/>
      <c r="G167" s="630"/>
      <c r="H167" s="646">
        <f>+(H168*45%)+(H176*5%)+(H178*20%)+(H183*30%)</f>
        <v>0.89124999999999988</v>
      </c>
      <c r="I167" s="644">
        <f>+(I168*X168)+(I176*X176)+(I178*X178)+(I183*X183)</f>
        <v>0.44049565217391307</v>
      </c>
      <c r="J167" s="634"/>
      <c r="K167" s="635"/>
      <c r="L167" s="636"/>
      <c r="M167" s="637"/>
      <c r="N167" s="637"/>
      <c r="O167" s="638"/>
      <c r="P167" s="638"/>
      <c r="Q167" s="638"/>
      <c r="R167" s="639"/>
      <c r="S167" s="638"/>
      <c r="T167" s="640"/>
      <c r="U167" s="641"/>
      <c r="V167" s="680">
        <f>+(V168*W168)+(V176*W176)+(V178*W178)+(V183*W183)</f>
        <v>0.45267857142857149</v>
      </c>
      <c r="W167" s="646">
        <v>0.2</v>
      </c>
      <c r="X167" s="657">
        <v>0.24</v>
      </c>
      <c r="Y167" s="642">
        <f>+Y168+Y176+Y178+Y183</f>
        <v>2442500000</v>
      </c>
      <c r="Z167" s="642">
        <f>+Z168+Z176+Z178+Z183</f>
        <v>244410750</v>
      </c>
      <c r="AA167" s="642">
        <f>+AA168+AA176+AA178+AA183</f>
        <v>1958456348.9400001</v>
      </c>
      <c r="AB167" s="643">
        <f t="shared" si="149"/>
        <v>0.80182450314841358</v>
      </c>
      <c r="AC167" s="642">
        <f>+AC168+AC176+AC178+AC183</f>
        <v>1037690522.3</v>
      </c>
      <c r="AD167" s="1635">
        <f t="shared" si="154"/>
        <v>0.42484770616171952</v>
      </c>
      <c r="AE167" s="629">
        <f>+AE168+AE176+AE178+AE183</f>
        <v>920765826.63999999</v>
      </c>
      <c r="AF167" s="637">
        <f>+AF168+AF176+AF178+AF183</f>
        <v>97500000</v>
      </c>
      <c r="AG167" s="642">
        <f>+AG168+AG176+AG178+AG183</f>
        <v>87000000</v>
      </c>
      <c r="AH167" s="645">
        <f t="shared" si="155"/>
        <v>0.89230769230769236</v>
      </c>
      <c r="AI167" s="642">
        <f t="shared" ref="AI167:AJ167" si="214">+AI168+AI176+AI178+AI183</f>
        <v>7290000000</v>
      </c>
      <c r="AJ167" s="642">
        <f t="shared" si="214"/>
        <v>2202867098.9400001</v>
      </c>
      <c r="AK167" s="1635">
        <f t="shared" si="173"/>
        <v>0.30217655678189304</v>
      </c>
      <c r="AL167" s="636"/>
      <c r="AM167" s="636" t="s">
        <v>293</v>
      </c>
      <c r="AN167" s="637"/>
      <c r="AO167" s="629"/>
      <c r="AP167" s="634"/>
      <c r="AQ167" s="634"/>
    </row>
    <row r="168" spans="1:43" ht="13.5" thickBot="1" x14ac:dyDescent="0.3">
      <c r="A168" s="742" t="s">
        <v>487</v>
      </c>
      <c r="B168" s="743"/>
      <c r="C168" s="744"/>
      <c r="D168" s="745"/>
      <c r="E168" s="746"/>
      <c r="F168" s="744"/>
      <c r="G168" s="744"/>
      <c r="H168" s="807">
        <f>+(H169*50%)+(H171*10%)+(H173*40%)</f>
        <v>0.82499999999999996</v>
      </c>
      <c r="I168" s="748">
        <f>+SUMPRODUCT(I169:I175,X169:X175)</f>
        <v>0.60400000000000009</v>
      </c>
      <c r="J168" s="213"/>
      <c r="K168" s="211"/>
      <c r="L168" s="749"/>
      <c r="M168" s="750"/>
      <c r="N168" s="750"/>
      <c r="O168" s="751"/>
      <c r="P168" s="751"/>
      <c r="Q168" s="751"/>
      <c r="R168" s="752"/>
      <c r="S168" s="751"/>
      <c r="T168" s="753"/>
      <c r="U168" s="754"/>
      <c r="V168" s="755">
        <f>+SUMPRODUCT(V169:V175,W169:W175)</f>
        <v>0.72500000000000009</v>
      </c>
      <c r="W168" s="747">
        <v>0.45</v>
      </c>
      <c r="X168" s="756">
        <v>0.45</v>
      </c>
      <c r="Y168" s="757">
        <f>SUM(Y169:Y175)</f>
        <v>877500000</v>
      </c>
      <c r="Z168" s="757">
        <f>SUM(Z169:Z175)</f>
        <v>117660750</v>
      </c>
      <c r="AA168" s="757">
        <f>SUM(AA169:AA175)</f>
        <v>482298283.94</v>
      </c>
      <c r="AB168" s="758">
        <f t="shared" si="149"/>
        <v>0.54962767400569801</v>
      </c>
      <c r="AC168" s="759">
        <f>SUM(AC169:AC175)</f>
        <v>306420659.30000001</v>
      </c>
      <c r="AD168" s="747">
        <f t="shared" si="154"/>
        <v>0.34919733253561253</v>
      </c>
      <c r="AE168" s="928">
        <f>SUM(AE169:AE175)</f>
        <v>175877624.63999999</v>
      </c>
      <c r="AF168" s="750">
        <f>SUM(AF169:AF175)</f>
        <v>51350000</v>
      </c>
      <c r="AG168" s="757">
        <f>SUM(AG169:AG175)</f>
        <v>47850000</v>
      </c>
      <c r="AH168" s="760">
        <f t="shared" si="155"/>
        <v>0.93184031158714709</v>
      </c>
      <c r="AI168" s="757">
        <f t="shared" ref="AI168:AJ168" si="215">SUM(AI169:AI175)</f>
        <v>3445000000</v>
      </c>
      <c r="AJ168" s="757">
        <f t="shared" si="215"/>
        <v>599959033.94000006</v>
      </c>
      <c r="AK168" s="747">
        <f t="shared" si="173"/>
        <v>0.17415356573004356</v>
      </c>
      <c r="AL168" s="761"/>
      <c r="AM168" s="761"/>
      <c r="AN168" s="210"/>
      <c r="AO168" s="928"/>
      <c r="AP168" s="213"/>
      <c r="AQ168" s="213"/>
    </row>
    <row r="169" spans="1:43" ht="89.25" x14ac:dyDescent="0.25">
      <c r="A169" s="264" t="s">
        <v>620</v>
      </c>
      <c r="B169" s="803" t="s">
        <v>880</v>
      </c>
      <c r="C169" s="380">
        <v>8</v>
      </c>
      <c r="D169" s="313">
        <v>8</v>
      </c>
      <c r="E169" s="727">
        <v>6</v>
      </c>
      <c r="F169" s="728">
        <v>6</v>
      </c>
      <c r="G169" s="728"/>
      <c r="H169" s="729">
        <f t="shared" ref="H169:H175" si="216">IF((E169+G169)/C169&gt;=100%,100%,(E169+G169)/C169)</f>
        <v>0.75</v>
      </c>
      <c r="I169" s="730">
        <f t="shared" ref="I169:I175" si="217">IF(F169/D169&gt;=100%,100%,F169/D169)</f>
        <v>0.75</v>
      </c>
      <c r="J169" s="1687" t="s">
        <v>994</v>
      </c>
      <c r="K169" s="1688"/>
      <c r="L169" s="1588"/>
      <c r="M169" s="1589"/>
      <c r="N169" s="1587"/>
      <c r="O169" s="1689"/>
      <c r="P169" s="1689"/>
      <c r="Q169" s="1689"/>
      <c r="R169" s="1591"/>
      <c r="S169" s="1689"/>
      <c r="T169" s="1690">
        <v>8</v>
      </c>
      <c r="U169" s="993">
        <f>SUM(E169:G169)</f>
        <v>12</v>
      </c>
      <c r="V169" s="1684">
        <f t="shared" ref="V169" si="218">IF(U169/T169&gt;=100%,100%,U169/T169)</f>
        <v>1</v>
      </c>
      <c r="W169" s="414">
        <v>0.4</v>
      </c>
      <c r="X169" s="1651">
        <v>0.5</v>
      </c>
      <c r="Y169" s="472">
        <v>360000000</v>
      </c>
      <c r="Z169" s="286" t="s">
        <v>892</v>
      </c>
      <c r="AA169" s="472">
        <v>56419087.380000003</v>
      </c>
      <c r="AB169" s="1596">
        <f t="shared" si="149"/>
        <v>0.15671968716666668</v>
      </c>
      <c r="AC169" s="472">
        <v>36245937.740000002</v>
      </c>
      <c r="AD169" s="1652">
        <f t="shared" si="154"/>
        <v>0.1006831603888889</v>
      </c>
      <c r="AE169" s="1598">
        <f>+AA169-AC169</f>
        <v>20173149.640000001</v>
      </c>
      <c r="AF169" s="1561" t="s">
        <v>892</v>
      </c>
      <c r="AG169" s="286" t="s">
        <v>892</v>
      </c>
      <c r="AH169" s="1097" t="e">
        <f t="shared" si="155"/>
        <v>#DIV/0!</v>
      </c>
      <c r="AI169" s="1599">
        <v>1520000000</v>
      </c>
      <c r="AJ169" s="1599">
        <f t="shared" ref="AJ169:AJ175" si="219">+SUM(Z169:AA169)</f>
        <v>56419087.380000003</v>
      </c>
      <c r="AK169" s="1652">
        <f t="shared" si="173"/>
        <v>3.7117820644736843E-2</v>
      </c>
      <c r="AL169" s="1671"/>
      <c r="AM169" s="1600"/>
      <c r="AN169" s="591" t="s">
        <v>28</v>
      </c>
      <c r="AO169" s="1901" t="s">
        <v>920</v>
      </c>
      <c r="AP169" s="595"/>
      <c r="AQ169" s="595"/>
    </row>
    <row r="170" spans="1:43" ht="25.5" x14ac:dyDescent="0.25">
      <c r="A170" s="264" t="s">
        <v>621</v>
      </c>
      <c r="B170" s="352" t="s">
        <v>882</v>
      </c>
      <c r="C170" s="380">
        <v>0</v>
      </c>
      <c r="D170" s="313">
        <v>0</v>
      </c>
      <c r="E170" s="182">
        <v>0</v>
      </c>
      <c r="F170" s="147">
        <v>0</v>
      </c>
      <c r="G170" s="147"/>
      <c r="H170" s="167" t="e">
        <f t="shared" si="216"/>
        <v>#DIV/0!</v>
      </c>
      <c r="I170" s="520">
        <v>0</v>
      </c>
      <c r="J170" s="604"/>
      <c r="K170" s="1088"/>
      <c r="L170" s="1583"/>
      <c r="M170" s="1584"/>
      <c r="N170" s="1085"/>
      <c r="O170" s="1090"/>
      <c r="P170" s="1090"/>
      <c r="Q170" s="1090"/>
      <c r="R170" s="1091"/>
      <c r="S170" s="1090"/>
      <c r="T170" s="1691">
        <v>1</v>
      </c>
      <c r="U170" s="599">
        <f t="shared" ref="U170:U175" si="220">SUM(E170:G170)</f>
        <v>0</v>
      </c>
      <c r="V170" s="1684">
        <f t="shared" ref="V170:V175" si="221">IF(U170/T170&gt;=100%,100%,U170/T170)</f>
        <v>0</v>
      </c>
      <c r="W170" s="414">
        <v>0.05</v>
      </c>
      <c r="X170" s="1093">
        <v>0</v>
      </c>
      <c r="Y170" s="476" t="s">
        <v>892</v>
      </c>
      <c r="Z170" s="286" t="s">
        <v>892</v>
      </c>
      <c r="AA170" s="286" t="s">
        <v>892</v>
      </c>
      <c r="AB170" s="1095" t="e">
        <f t="shared" si="149"/>
        <v>#DIV/0!</v>
      </c>
      <c r="AC170" s="472">
        <v>0</v>
      </c>
      <c r="AD170" s="935" t="e">
        <f t="shared" si="154"/>
        <v>#DIV/0!</v>
      </c>
      <c r="AE170" s="1611"/>
      <c r="AF170" s="1561" t="s">
        <v>892</v>
      </c>
      <c r="AG170" s="286" t="s">
        <v>892</v>
      </c>
      <c r="AH170" s="1097" t="e">
        <f t="shared" si="155"/>
        <v>#DIV/0!</v>
      </c>
      <c r="AI170" s="1603">
        <v>120000000</v>
      </c>
      <c r="AJ170" s="1603">
        <f t="shared" si="219"/>
        <v>0</v>
      </c>
      <c r="AK170" s="894">
        <f t="shared" si="173"/>
        <v>0</v>
      </c>
      <c r="AL170" s="1615"/>
      <c r="AM170" s="1604"/>
      <c r="AN170" s="151" t="s">
        <v>302</v>
      </c>
      <c r="AO170" s="1897"/>
      <c r="AP170" s="98"/>
      <c r="AQ170" s="98"/>
    </row>
    <row r="171" spans="1:43" ht="63.75" x14ac:dyDescent="0.25">
      <c r="A171" s="264" t="s">
        <v>622</v>
      </c>
      <c r="B171" s="352" t="s">
        <v>881</v>
      </c>
      <c r="C171" s="380">
        <v>6</v>
      </c>
      <c r="D171" s="313">
        <v>12</v>
      </c>
      <c r="E171" s="182">
        <v>0</v>
      </c>
      <c r="F171" s="147">
        <v>3</v>
      </c>
      <c r="G171" s="558">
        <v>3</v>
      </c>
      <c r="H171" s="167">
        <f t="shared" si="216"/>
        <v>0.5</v>
      </c>
      <c r="I171" s="520">
        <f t="shared" si="217"/>
        <v>0.25</v>
      </c>
      <c r="J171" s="604" t="s">
        <v>995</v>
      </c>
      <c r="K171" s="1088"/>
      <c r="L171" s="1583"/>
      <c r="M171" s="1584"/>
      <c r="N171" s="1085"/>
      <c r="O171" s="1090"/>
      <c r="P171" s="1090"/>
      <c r="Q171" s="1090"/>
      <c r="R171" s="1091"/>
      <c r="S171" s="1090"/>
      <c r="T171" s="1691">
        <v>12</v>
      </c>
      <c r="U171" s="599">
        <f t="shared" si="220"/>
        <v>6</v>
      </c>
      <c r="V171" s="1684">
        <f t="shared" si="221"/>
        <v>0.5</v>
      </c>
      <c r="W171" s="414">
        <v>0.05</v>
      </c>
      <c r="X171" s="1093">
        <v>0.1</v>
      </c>
      <c r="Y171" s="472">
        <v>25000000</v>
      </c>
      <c r="Z171" s="283">
        <v>18610750</v>
      </c>
      <c r="AA171" s="472">
        <v>14689393</v>
      </c>
      <c r="AB171" s="1095">
        <f t="shared" si="149"/>
        <v>0.58757572000000002</v>
      </c>
      <c r="AC171" s="472">
        <v>1001842</v>
      </c>
      <c r="AD171" s="894">
        <f t="shared" si="154"/>
        <v>4.007368E-2</v>
      </c>
      <c r="AE171" s="1601">
        <f>+AA171-AC171</f>
        <v>13687551</v>
      </c>
      <c r="AF171" s="1561" t="s">
        <v>892</v>
      </c>
      <c r="AG171" s="286" t="s">
        <v>892</v>
      </c>
      <c r="AH171" s="1097" t="e">
        <f t="shared" si="155"/>
        <v>#DIV/0!</v>
      </c>
      <c r="AI171" s="1603">
        <v>100000000</v>
      </c>
      <c r="AJ171" s="1603">
        <f t="shared" si="219"/>
        <v>33300143</v>
      </c>
      <c r="AK171" s="894">
        <f t="shared" si="173"/>
        <v>0.33300142999999999</v>
      </c>
      <c r="AL171" s="1615"/>
      <c r="AM171" s="1604"/>
      <c r="AN171" s="151" t="s">
        <v>29</v>
      </c>
      <c r="AO171" s="1897"/>
      <c r="AP171" s="98"/>
      <c r="AQ171" s="98"/>
    </row>
    <row r="172" spans="1:43" ht="76.5" x14ac:dyDescent="0.25">
      <c r="A172" s="264" t="s">
        <v>623</v>
      </c>
      <c r="B172" s="354" t="s">
        <v>802</v>
      </c>
      <c r="C172" s="380">
        <v>0</v>
      </c>
      <c r="D172" s="313">
        <v>1</v>
      </c>
      <c r="E172" s="182">
        <v>0</v>
      </c>
      <c r="F172" s="147">
        <v>0</v>
      </c>
      <c r="G172" s="147"/>
      <c r="H172" s="167" t="e">
        <f t="shared" si="216"/>
        <v>#DIV/0!</v>
      </c>
      <c r="I172" s="520">
        <f t="shared" si="217"/>
        <v>0</v>
      </c>
      <c r="J172" s="604" t="s">
        <v>996</v>
      </c>
      <c r="K172" s="1088"/>
      <c r="L172" s="1583"/>
      <c r="M172" s="1584"/>
      <c r="N172" s="1085"/>
      <c r="O172" s="1090"/>
      <c r="P172" s="1090"/>
      <c r="Q172" s="1090"/>
      <c r="R172" s="1091"/>
      <c r="S172" s="1090"/>
      <c r="T172" s="1691">
        <v>2</v>
      </c>
      <c r="U172" s="599">
        <f t="shared" si="220"/>
        <v>0</v>
      </c>
      <c r="V172" s="1684">
        <f t="shared" si="221"/>
        <v>0</v>
      </c>
      <c r="W172" s="415">
        <v>0.05</v>
      </c>
      <c r="X172" s="1093">
        <v>0.05</v>
      </c>
      <c r="Y172" s="477">
        <v>92500000</v>
      </c>
      <c r="Z172" s="286" t="s">
        <v>892</v>
      </c>
      <c r="AA172" s="472">
        <v>41975169</v>
      </c>
      <c r="AB172" s="1095">
        <f t="shared" si="149"/>
        <v>0.45378561081081081</v>
      </c>
      <c r="AC172" s="472">
        <v>16120695</v>
      </c>
      <c r="AD172" s="894">
        <f t="shared" si="154"/>
        <v>0.17427778378378378</v>
      </c>
      <c r="AE172" s="1601">
        <f>+AA172-AC172</f>
        <v>25854474</v>
      </c>
      <c r="AF172" s="1561" t="s">
        <v>892</v>
      </c>
      <c r="AG172" s="286" t="s">
        <v>892</v>
      </c>
      <c r="AH172" s="1097" t="e">
        <f t="shared" si="155"/>
        <v>#DIV/0!</v>
      </c>
      <c r="AI172" s="1603">
        <v>185000000</v>
      </c>
      <c r="AJ172" s="1603">
        <f t="shared" si="219"/>
        <v>41975169</v>
      </c>
      <c r="AK172" s="894">
        <f t="shared" si="173"/>
        <v>0.22689280540540541</v>
      </c>
      <c r="AL172" s="1615"/>
      <c r="AM172" s="1604"/>
      <c r="AN172" s="151" t="s">
        <v>302</v>
      </c>
      <c r="AO172" s="1898"/>
      <c r="AP172" s="98"/>
      <c r="AQ172" s="98"/>
    </row>
    <row r="173" spans="1:43" ht="76.5" x14ac:dyDescent="0.25">
      <c r="A173" s="264" t="s">
        <v>624</v>
      </c>
      <c r="B173" s="351" t="s">
        <v>803</v>
      </c>
      <c r="C173" s="381">
        <v>1</v>
      </c>
      <c r="D173" s="314">
        <v>1</v>
      </c>
      <c r="E173" s="225">
        <v>1</v>
      </c>
      <c r="F173" s="169">
        <v>0.68</v>
      </c>
      <c r="G173" s="147"/>
      <c r="H173" s="167">
        <f t="shared" si="216"/>
        <v>1</v>
      </c>
      <c r="I173" s="520">
        <f t="shared" si="217"/>
        <v>0.68</v>
      </c>
      <c r="J173" s="604" t="s">
        <v>997</v>
      </c>
      <c r="K173" s="1088"/>
      <c r="L173" s="1583"/>
      <c r="M173" s="1584"/>
      <c r="N173" s="1085"/>
      <c r="O173" s="1090"/>
      <c r="P173" s="1090"/>
      <c r="Q173" s="1090"/>
      <c r="R173" s="1091"/>
      <c r="S173" s="1090"/>
      <c r="T173" s="1105">
        <v>1</v>
      </c>
      <c r="U173" s="599">
        <f t="shared" si="220"/>
        <v>1.6800000000000002</v>
      </c>
      <c r="V173" s="1684">
        <f t="shared" si="221"/>
        <v>1</v>
      </c>
      <c r="W173" s="416">
        <v>0.3</v>
      </c>
      <c r="X173" s="1093">
        <v>0.3</v>
      </c>
      <c r="Y173" s="472">
        <v>280000000</v>
      </c>
      <c r="Z173" s="283">
        <v>99050000</v>
      </c>
      <c r="AA173" s="472">
        <v>249214635</v>
      </c>
      <c r="AB173" s="1095">
        <f t="shared" si="149"/>
        <v>0.89005226785714286</v>
      </c>
      <c r="AC173" s="472">
        <v>239684150</v>
      </c>
      <c r="AD173" s="1104">
        <f t="shared" si="154"/>
        <v>0.85601482142857144</v>
      </c>
      <c r="AE173" s="1601">
        <f>+AA173-AC173</f>
        <v>9530485</v>
      </c>
      <c r="AF173" s="1562">
        <v>51350000</v>
      </c>
      <c r="AG173" s="283">
        <v>47850000</v>
      </c>
      <c r="AH173" s="1097">
        <f t="shared" si="155"/>
        <v>0.93184031158714709</v>
      </c>
      <c r="AI173" s="1603">
        <v>1000000000</v>
      </c>
      <c r="AJ173" s="1603">
        <f t="shared" si="219"/>
        <v>348264635</v>
      </c>
      <c r="AK173" s="894">
        <f t="shared" si="173"/>
        <v>0.34826463499999999</v>
      </c>
      <c r="AL173" s="1615"/>
      <c r="AM173" s="1604"/>
      <c r="AN173" s="151" t="s">
        <v>302</v>
      </c>
      <c r="AO173" s="1791" t="s">
        <v>920</v>
      </c>
      <c r="AP173" s="98"/>
      <c r="AQ173" s="98"/>
    </row>
    <row r="174" spans="1:43" ht="382.5" x14ac:dyDescent="0.25">
      <c r="A174" s="264" t="s">
        <v>625</v>
      </c>
      <c r="B174" s="355" t="s">
        <v>804</v>
      </c>
      <c r="C174" s="380">
        <v>0</v>
      </c>
      <c r="D174" s="313">
        <v>0</v>
      </c>
      <c r="E174" s="182">
        <v>0</v>
      </c>
      <c r="F174" s="147">
        <v>0</v>
      </c>
      <c r="G174" s="147"/>
      <c r="H174" s="167" t="e">
        <f t="shared" si="216"/>
        <v>#DIV/0!</v>
      </c>
      <c r="I174" s="520">
        <v>0</v>
      </c>
      <c r="J174" s="604"/>
      <c r="K174" s="1088"/>
      <c r="L174" s="1583"/>
      <c r="M174" s="1584"/>
      <c r="N174" s="1085"/>
      <c r="O174" s="1090"/>
      <c r="P174" s="1090"/>
      <c r="Q174" s="1090"/>
      <c r="R174" s="1091"/>
      <c r="S174" s="1090"/>
      <c r="T174" s="1691">
        <v>1</v>
      </c>
      <c r="U174" s="599">
        <f t="shared" si="220"/>
        <v>0</v>
      </c>
      <c r="V174" s="1684">
        <f t="shared" si="221"/>
        <v>0</v>
      </c>
      <c r="W174" s="416">
        <v>0.1</v>
      </c>
      <c r="X174" s="1093">
        <v>0</v>
      </c>
      <c r="Y174" s="476" t="s">
        <v>892</v>
      </c>
      <c r="Z174" s="286" t="s">
        <v>892</v>
      </c>
      <c r="AA174" s="286" t="s">
        <v>892</v>
      </c>
      <c r="AB174" s="1095" t="e">
        <f t="shared" si="149"/>
        <v>#DIV/0!</v>
      </c>
      <c r="AC174" s="472">
        <v>0</v>
      </c>
      <c r="AD174" s="935" t="e">
        <f t="shared" si="154"/>
        <v>#DIV/0!</v>
      </c>
      <c r="AE174" s="1611"/>
      <c r="AF174" s="1561" t="s">
        <v>892</v>
      </c>
      <c r="AG174" s="286" t="s">
        <v>892</v>
      </c>
      <c r="AH174" s="1097" t="e">
        <f t="shared" si="155"/>
        <v>#DIV/0!</v>
      </c>
      <c r="AI174" s="1603">
        <v>400000000</v>
      </c>
      <c r="AJ174" s="1603">
        <f t="shared" si="219"/>
        <v>0</v>
      </c>
      <c r="AK174" s="894">
        <f t="shared" si="173"/>
        <v>0</v>
      </c>
      <c r="AL174" s="1615"/>
      <c r="AM174" s="1604"/>
      <c r="AN174" s="151" t="s">
        <v>302</v>
      </c>
      <c r="AO174" s="1791" t="s">
        <v>921</v>
      </c>
      <c r="AP174" s="98"/>
      <c r="AQ174" s="98"/>
    </row>
    <row r="175" spans="1:43" ht="77.25" thickBot="1" x14ac:dyDescent="0.3">
      <c r="A175" s="707" t="s">
        <v>626</v>
      </c>
      <c r="B175" s="708" t="s">
        <v>805</v>
      </c>
      <c r="C175" s="709">
        <v>0</v>
      </c>
      <c r="D175" s="710">
        <v>1</v>
      </c>
      <c r="E175" s="668">
        <v>0</v>
      </c>
      <c r="F175" s="573">
        <v>0</v>
      </c>
      <c r="G175" s="573"/>
      <c r="H175" s="561" t="e">
        <f t="shared" si="216"/>
        <v>#DIV/0!</v>
      </c>
      <c r="I175" s="557">
        <f t="shared" si="217"/>
        <v>0</v>
      </c>
      <c r="J175" s="604" t="s">
        <v>998</v>
      </c>
      <c r="K175" s="1088"/>
      <c r="L175" s="1641"/>
      <c r="M175" s="1642"/>
      <c r="N175" s="1640"/>
      <c r="O175" s="1090"/>
      <c r="P175" s="1090"/>
      <c r="Q175" s="1090"/>
      <c r="R175" s="1643"/>
      <c r="S175" s="1090"/>
      <c r="T175" s="1691">
        <v>1</v>
      </c>
      <c r="U175" s="935">
        <f t="shared" si="220"/>
        <v>0</v>
      </c>
      <c r="V175" s="1679">
        <f t="shared" si="221"/>
        <v>0</v>
      </c>
      <c r="W175" s="416">
        <v>0.05</v>
      </c>
      <c r="X175" s="1655">
        <v>0.05</v>
      </c>
      <c r="Y175" s="797">
        <v>120000000</v>
      </c>
      <c r="Z175" s="796" t="s">
        <v>892</v>
      </c>
      <c r="AA175" s="712">
        <v>119999999.56</v>
      </c>
      <c r="AB175" s="1610">
        <f t="shared" si="149"/>
        <v>0.99999999633333336</v>
      </c>
      <c r="AC175" s="712">
        <v>13368034.560000001</v>
      </c>
      <c r="AD175" s="894">
        <f t="shared" si="154"/>
        <v>0.111400288</v>
      </c>
      <c r="AE175" s="1611">
        <f>+AA175-AC175</f>
        <v>106631965</v>
      </c>
      <c r="AF175" s="1563" t="s">
        <v>892</v>
      </c>
      <c r="AG175" s="796" t="s">
        <v>892</v>
      </c>
      <c r="AH175" s="1612" t="e">
        <f t="shared" si="155"/>
        <v>#DIV/0!</v>
      </c>
      <c r="AI175" s="1614">
        <v>120000000</v>
      </c>
      <c r="AJ175" s="1614">
        <f t="shared" si="219"/>
        <v>119999999.56</v>
      </c>
      <c r="AK175" s="1104">
        <f t="shared" si="163"/>
        <v>0.99999999633333336</v>
      </c>
      <c r="AL175" s="1615"/>
      <c r="AM175" s="1615"/>
      <c r="AN175" s="589" t="s">
        <v>302</v>
      </c>
      <c r="AO175" s="1792" t="s">
        <v>920</v>
      </c>
      <c r="AP175" s="594"/>
      <c r="AQ175" s="594"/>
    </row>
    <row r="176" spans="1:43" ht="13.5" thickBot="1" x14ac:dyDescent="0.3">
      <c r="A176" s="742" t="s">
        <v>488</v>
      </c>
      <c r="B176" s="743"/>
      <c r="C176" s="744"/>
      <c r="D176" s="745"/>
      <c r="E176" s="746"/>
      <c r="F176" s="744"/>
      <c r="G176" s="744"/>
      <c r="H176" s="747">
        <f>+SUMPRODUCT(H177:H177,W177:W177)</f>
        <v>1</v>
      </c>
      <c r="I176" s="748">
        <f>+SUMPRODUCT(I177:I177,X177:X177)</f>
        <v>1</v>
      </c>
      <c r="J176" s="213"/>
      <c r="K176" s="211"/>
      <c r="L176" s="749"/>
      <c r="M176" s="750"/>
      <c r="N176" s="750"/>
      <c r="O176" s="751"/>
      <c r="P176" s="751"/>
      <c r="Q176" s="751"/>
      <c r="R176" s="752"/>
      <c r="S176" s="751"/>
      <c r="T176" s="753"/>
      <c r="U176" s="754"/>
      <c r="V176" s="755">
        <f>+SUMPRODUCT(V177:V177,W177:W177)</f>
        <v>0.42857142857142855</v>
      </c>
      <c r="W176" s="747">
        <v>0.05</v>
      </c>
      <c r="X176" s="756">
        <v>0.05</v>
      </c>
      <c r="Y176" s="757">
        <f>SUM(Y177)</f>
        <v>40000000</v>
      </c>
      <c r="Z176" s="757">
        <f>SUM(Z177)</f>
        <v>10500000</v>
      </c>
      <c r="AA176" s="757">
        <f>SUM(AA177)</f>
        <v>36578787</v>
      </c>
      <c r="AB176" s="758">
        <f t="shared" si="149"/>
        <v>0.91446967499999998</v>
      </c>
      <c r="AC176" s="757">
        <f>SUM(AC177)</f>
        <v>29603684</v>
      </c>
      <c r="AD176" s="748">
        <f t="shared" si="154"/>
        <v>0.74009210000000003</v>
      </c>
      <c r="AE176" s="928">
        <f>SUM(AE177)</f>
        <v>6975103</v>
      </c>
      <c r="AF176" s="750">
        <f>SUM(AF177)</f>
        <v>6300000</v>
      </c>
      <c r="AG176" s="757">
        <f>SUM(AG177)</f>
        <v>6300000</v>
      </c>
      <c r="AH176" s="760">
        <f t="shared" si="155"/>
        <v>1</v>
      </c>
      <c r="AI176" s="757">
        <f t="shared" ref="AI176:AJ176" si="222">SUM(AI177)</f>
        <v>140000000</v>
      </c>
      <c r="AJ176" s="757">
        <f t="shared" si="222"/>
        <v>47078787</v>
      </c>
      <c r="AK176" s="747">
        <f t="shared" si="163"/>
        <v>0.33627705000000002</v>
      </c>
      <c r="AL176" s="761"/>
      <c r="AM176" s="761"/>
      <c r="AN176" s="210"/>
      <c r="AO176" s="928"/>
      <c r="AP176" s="213"/>
      <c r="AQ176" s="213"/>
    </row>
    <row r="177" spans="1:43" ht="77.25" thickBot="1" x14ac:dyDescent="0.3">
      <c r="A177" s="265" t="s">
        <v>627</v>
      </c>
      <c r="B177" s="798" t="s">
        <v>806</v>
      </c>
      <c r="C177" s="776">
        <v>1</v>
      </c>
      <c r="D177" s="777">
        <v>2</v>
      </c>
      <c r="E177" s="778">
        <v>1</v>
      </c>
      <c r="F177" s="779">
        <v>2</v>
      </c>
      <c r="G177" s="779"/>
      <c r="H177" s="780">
        <f t="shared" ref="H177" si="223">IF((E177+G177)/C177&gt;=100%,100%,(E177+G177)/C177)</f>
        <v>1</v>
      </c>
      <c r="I177" s="772">
        <f t="shared" ref="I177" si="224">IF(F177/D177&gt;=100%,100%,F177/D177)</f>
        <v>1</v>
      </c>
      <c r="J177" s="586" t="s">
        <v>999</v>
      </c>
      <c r="K177" s="563"/>
      <c r="L177" s="781"/>
      <c r="M177" s="782"/>
      <c r="N177" s="783"/>
      <c r="O177" s="733"/>
      <c r="P177" s="733"/>
      <c r="Q177" s="733"/>
      <c r="R177" s="784"/>
      <c r="S177" s="733"/>
      <c r="T177" s="735">
        <v>7</v>
      </c>
      <c r="U177" s="739">
        <f>SUM(E177:G177)</f>
        <v>3</v>
      </c>
      <c r="V177" s="801">
        <f t="shared" ref="V177" si="225">IF(U177/T177&gt;=100%,100%,U177/T177)</f>
        <v>0.42857142857142855</v>
      </c>
      <c r="W177" s="805">
        <v>1</v>
      </c>
      <c r="X177" s="806">
        <v>1</v>
      </c>
      <c r="Y177" s="787">
        <v>40000000</v>
      </c>
      <c r="Z177" s="802">
        <v>10500000</v>
      </c>
      <c r="AA177" s="787">
        <v>36578787</v>
      </c>
      <c r="AB177" s="788">
        <f t="shared" si="149"/>
        <v>0.91446967499999998</v>
      </c>
      <c r="AC177" s="787">
        <v>29603684</v>
      </c>
      <c r="AD177" s="772">
        <f t="shared" si="154"/>
        <v>0.74009210000000003</v>
      </c>
      <c r="AE177" s="789">
        <f>+AA177-AC177</f>
        <v>6975103</v>
      </c>
      <c r="AF177" s="1556">
        <v>6300000</v>
      </c>
      <c r="AG177" s="802">
        <v>6300000</v>
      </c>
      <c r="AH177" s="581">
        <f t="shared" si="155"/>
        <v>1</v>
      </c>
      <c r="AI177" s="790">
        <v>140000000</v>
      </c>
      <c r="AJ177" s="790">
        <f t="shared" ref="AJ177" si="226">+SUM(Z177:AA177)</f>
        <v>47078787</v>
      </c>
      <c r="AK177" s="1652">
        <f t="shared" si="163"/>
        <v>0.33627705000000002</v>
      </c>
      <c r="AL177" s="741"/>
      <c r="AM177" s="741"/>
      <c r="AN177" s="791" t="s">
        <v>302</v>
      </c>
      <c r="AO177" s="1786" t="s">
        <v>920</v>
      </c>
      <c r="AP177" s="586"/>
      <c r="AQ177" s="586"/>
    </row>
    <row r="178" spans="1:43" ht="13.5" thickBot="1" x14ac:dyDescent="0.3">
      <c r="A178" s="742" t="s">
        <v>489</v>
      </c>
      <c r="B178" s="743"/>
      <c r="C178" s="744"/>
      <c r="D178" s="745"/>
      <c r="E178" s="746"/>
      <c r="F178" s="744"/>
      <c r="G178" s="744"/>
      <c r="H178" s="747">
        <f>+(H180*85%)+(H182*15%)</f>
        <v>0.85</v>
      </c>
      <c r="I178" s="748">
        <f>+SUMPRODUCT(I179:I182,X179:X182)</f>
        <v>0.15</v>
      </c>
      <c r="J178" s="213"/>
      <c r="K178" s="211"/>
      <c r="L178" s="749"/>
      <c r="M178" s="750"/>
      <c r="N178" s="750"/>
      <c r="O178" s="751"/>
      <c r="P178" s="751"/>
      <c r="Q178" s="751"/>
      <c r="R178" s="752"/>
      <c r="S178" s="751"/>
      <c r="T178" s="753"/>
      <c r="U178" s="754"/>
      <c r="V178" s="755">
        <f>+SUMPRODUCT(V179:V182,W179:W182)</f>
        <v>7.4999999999999997E-2</v>
      </c>
      <c r="W178" s="747">
        <v>0.2</v>
      </c>
      <c r="X178" s="756">
        <v>0.2</v>
      </c>
      <c r="Y178" s="757">
        <f>SUM(Y179:Y182)</f>
        <v>525000000</v>
      </c>
      <c r="Z178" s="757">
        <f>SUM(Z179:Z182)</f>
        <v>4000000</v>
      </c>
      <c r="AA178" s="757">
        <f>SUM(AA179:AA182)</f>
        <v>453696326</v>
      </c>
      <c r="AB178" s="758">
        <f t="shared" si="149"/>
        <v>0.8641834780952381</v>
      </c>
      <c r="AC178" s="759">
        <f>SUM(AC179:AC182)</f>
        <v>93361949</v>
      </c>
      <c r="AD178" s="747">
        <f t="shared" si="154"/>
        <v>0.17783228380952382</v>
      </c>
      <c r="AE178" s="928">
        <f>SUM(AE179:AE182)</f>
        <v>360334377</v>
      </c>
      <c r="AF178" s="750">
        <f>SUM(AF179:AF182)</f>
        <v>4000000</v>
      </c>
      <c r="AG178" s="757">
        <f>SUM(AG179:AG182)</f>
        <v>4000000</v>
      </c>
      <c r="AH178" s="760">
        <f t="shared" si="155"/>
        <v>1</v>
      </c>
      <c r="AI178" s="757">
        <f t="shared" ref="AI178:AJ178" si="227">SUM(AI179:AI182)</f>
        <v>1445000000</v>
      </c>
      <c r="AJ178" s="757">
        <f t="shared" si="227"/>
        <v>457696326</v>
      </c>
      <c r="AK178" s="747">
        <f t="shared" si="163"/>
        <v>0.31674486228373705</v>
      </c>
      <c r="AL178" s="761"/>
      <c r="AM178" s="761"/>
      <c r="AN178" s="210"/>
      <c r="AO178" s="928"/>
      <c r="AP178" s="213"/>
      <c r="AQ178" s="213"/>
    </row>
    <row r="179" spans="1:43" ht="127.5" x14ac:dyDescent="0.25">
      <c r="A179" s="264" t="s">
        <v>628</v>
      </c>
      <c r="B179" s="803" t="s">
        <v>883</v>
      </c>
      <c r="C179" s="380">
        <v>0</v>
      </c>
      <c r="D179" s="313">
        <v>1</v>
      </c>
      <c r="E179" s="727">
        <v>0</v>
      </c>
      <c r="F179" s="728">
        <v>0</v>
      </c>
      <c r="G179" s="728"/>
      <c r="H179" s="729" t="e">
        <f t="shared" ref="H179" si="228">IF((E179+G179)/C179&gt;=100%,100%,(E179+G179)/C179)</f>
        <v>#DIV/0!</v>
      </c>
      <c r="I179" s="730">
        <f t="shared" ref="I179" si="229">IF(F179/D179&gt;=100%,100%,F179/D179)</f>
        <v>0</v>
      </c>
      <c r="J179" s="586" t="s">
        <v>1000</v>
      </c>
      <c r="K179" s="563"/>
      <c r="L179" s="731"/>
      <c r="M179" s="732"/>
      <c r="N179" s="585"/>
      <c r="O179" s="733"/>
      <c r="P179" s="733"/>
      <c r="Q179" s="733"/>
      <c r="R179" s="734"/>
      <c r="S179" s="733"/>
      <c r="T179" s="735">
        <v>3</v>
      </c>
      <c r="U179" s="993">
        <f>SUM(E179:G179)</f>
        <v>0</v>
      </c>
      <c r="V179" s="1684">
        <f t="shared" ref="V179" si="230">IF(U179/T179&gt;=100%,100%,U179/T179)</f>
        <v>0</v>
      </c>
      <c r="W179" s="415">
        <v>0.7</v>
      </c>
      <c r="X179" s="435">
        <v>0.7</v>
      </c>
      <c r="Y179" s="804">
        <v>380000000</v>
      </c>
      <c r="Z179" s="286" t="s">
        <v>892</v>
      </c>
      <c r="AA179" s="804">
        <v>374032317</v>
      </c>
      <c r="AB179" s="1596">
        <f t="shared" si="149"/>
        <v>0.98429557105263155</v>
      </c>
      <c r="AC179" s="804">
        <v>18822483</v>
      </c>
      <c r="AD179" s="1652">
        <f t="shared" si="154"/>
        <v>4.9532850000000003E-2</v>
      </c>
      <c r="AE179" s="1598">
        <f>+AA179-AC179</f>
        <v>355209834</v>
      </c>
      <c r="AF179" s="1561" t="s">
        <v>892</v>
      </c>
      <c r="AG179" s="286" t="s">
        <v>892</v>
      </c>
      <c r="AH179" s="1097" t="e">
        <f t="shared" si="155"/>
        <v>#DIV/0!</v>
      </c>
      <c r="AI179" s="1599">
        <v>1120000000</v>
      </c>
      <c r="AJ179" s="1599">
        <f t="shared" ref="AJ179:AJ189" si="231">+SUM(Z179:AA179)</f>
        <v>374032317</v>
      </c>
      <c r="AK179" s="1652">
        <f t="shared" si="163"/>
        <v>0.33395742589285715</v>
      </c>
      <c r="AL179" s="1671"/>
      <c r="AM179" s="1600"/>
      <c r="AN179" s="591" t="s">
        <v>22</v>
      </c>
      <c r="AO179" s="825" t="s">
        <v>895</v>
      </c>
      <c r="AP179" s="595"/>
      <c r="AQ179" s="595"/>
    </row>
    <row r="180" spans="1:43" ht="38.25" x14ac:dyDescent="0.25">
      <c r="A180" s="264" t="s">
        <v>629</v>
      </c>
      <c r="B180" s="226" t="s">
        <v>807</v>
      </c>
      <c r="C180" s="381">
        <v>1</v>
      </c>
      <c r="D180" s="314">
        <v>1</v>
      </c>
      <c r="E180" s="225">
        <v>1</v>
      </c>
      <c r="F180" s="169">
        <v>1</v>
      </c>
      <c r="G180" s="147"/>
      <c r="H180" s="167">
        <f t="shared" ref="H180:H182" si="232">IF((E180+G180)/C180&gt;=100%,100%,(E180+G180)/C180)</f>
        <v>1</v>
      </c>
      <c r="I180" s="520">
        <f t="shared" ref="I180:I182" si="233">IF(F180/D180&gt;=100%,100%,F180/D180)</f>
        <v>1</v>
      </c>
      <c r="J180" s="594" t="s">
        <v>1001</v>
      </c>
      <c r="K180" s="569"/>
      <c r="L180" s="102"/>
      <c r="M180" s="104"/>
      <c r="N180" s="146"/>
      <c r="O180" s="173"/>
      <c r="P180" s="173"/>
      <c r="Q180" s="173"/>
      <c r="R180" s="150"/>
      <c r="S180" s="173"/>
      <c r="T180" s="179">
        <v>4</v>
      </c>
      <c r="U180" s="598">
        <f t="shared" ref="U180:U182" si="234">SUM(E180:G180)</f>
        <v>2</v>
      </c>
      <c r="V180" s="1684">
        <f t="shared" ref="V180:V182" si="235">IF(U180/T180&gt;=100%,100%,U180/T180)</f>
        <v>0.5</v>
      </c>
      <c r="W180" s="416">
        <v>0.15</v>
      </c>
      <c r="X180" s="436">
        <v>0.15</v>
      </c>
      <c r="Y180" s="472">
        <v>40000000</v>
      </c>
      <c r="Z180" s="283">
        <v>4000000</v>
      </c>
      <c r="AA180" s="477">
        <v>39378784</v>
      </c>
      <c r="AB180" s="1095">
        <f t="shared" si="149"/>
        <v>0.98446959999999994</v>
      </c>
      <c r="AC180" s="477">
        <v>37991373</v>
      </c>
      <c r="AD180" s="1104">
        <f t="shared" si="154"/>
        <v>0.94978432499999998</v>
      </c>
      <c r="AE180" s="1601">
        <f>+AA180-AC180</f>
        <v>1387411</v>
      </c>
      <c r="AF180" s="1562">
        <v>4000000</v>
      </c>
      <c r="AG180" s="283">
        <v>4000000</v>
      </c>
      <c r="AH180" s="1097">
        <f t="shared" si="155"/>
        <v>1</v>
      </c>
      <c r="AI180" s="1603">
        <v>140000000</v>
      </c>
      <c r="AJ180" s="1603">
        <f t="shared" si="231"/>
        <v>43378784</v>
      </c>
      <c r="AK180" s="894">
        <f t="shared" si="163"/>
        <v>0.30984845714285714</v>
      </c>
      <c r="AL180" s="1615"/>
      <c r="AM180" s="1604"/>
      <c r="AN180" s="151" t="s">
        <v>302</v>
      </c>
      <c r="AO180" s="1791" t="s">
        <v>895</v>
      </c>
      <c r="AP180" s="98"/>
      <c r="AQ180" s="98"/>
    </row>
    <row r="181" spans="1:43" ht="51" x14ac:dyDescent="0.25">
      <c r="A181" s="267" t="s">
        <v>630</v>
      </c>
      <c r="B181" s="351" t="s">
        <v>808</v>
      </c>
      <c r="C181" s="380">
        <v>0</v>
      </c>
      <c r="D181" s="313">
        <v>2</v>
      </c>
      <c r="E181" s="182">
        <v>0</v>
      </c>
      <c r="F181" s="147">
        <v>0</v>
      </c>
      <c r="G181" s="147"/>
      <c r="H181" s="167" t="e">
        <f t="shared" si="232"/>
        <v>#DIV/0!</v>
      </c>
      <c r="I181" s="520">
        <f t="shared" si="233"/>
        <v>0</v>
      </c>
      <c r="J181" s="594" t="s">
        <v>1002</v>
      </c>
      <c r="K181" s="569"/>
      <c r="L181" s="102"/>
      <c r="M181" s="104"/>
      <c r="N181" s="146"/>
      <c r="O181" s="173"/>
      <c r="P181" s="173"/>
      <c r="Q181" s="173"/>
      <c r="R181" s="150"/>
      <c r="S181" s="173"/>
      <c r="T181" s="194">
        <v>2</v>
      </c>
      <c r="U181" s="599">
        <f t="shared" si="234"/>
        <v>0</v>
      </c>
      <c r="V181" s="1684">
        <f t="shared" si="235"/>
        <v>0</v>
      </c>
      <c r="W181" s="417">
        <v>0.08</v>
      </c>
      <c r="X181" s="437">
        <v>0.08</v>
      </c>
      <c r="Y181" s="472">
        <v>85000000</v>
      </c>
      <c r="Z181" s="286" t="s">
        <v>892</v>
      </c>
      <c r="AA181" s="477">
        <f>40285225*0.81</f>
        <v>32631032.250000004</v>
      </c>
      <c r="AB181" s="1095">
        <f t="shared" si="149"/>
        <v>0.38389449705882356</v>
      </c>
      <c r="AC181" s="477">
        <f>36548093*0.81</f>
        <v>29603955.330000002</v>
      </c>
      <c r="AD181" s="894">
        <f t="shared" si="154"/>
        <v>0.34828182741176472</v>
      </c>
      <c r="AE181" s="1601">
        <f>+AA181-AC181</f>
        <v>3027076.9200000018</v>
      </c>
      <c r="AF181" s="1561" t="s">
        <v>892</v>
      </c>
      <c r="AG181" s="286" t="s">
        <v>892</v>
      </c>
      <c r="AH181" s="1097" t="e">
        <f t="shared" si="155"/>
        <v>#DIV/0!</v>
      </c>
      <c r="AI181" s="1603">
        <v>85000000</v>
      </c>
      <c r="AJ181" s="1603">
        <f t="shared" si="231"/>
        <v>32631032.250000004</v>
      </c>
      <c r="AK181" s="894">
        <f t="shared" si="163"/>
        <v>0.38389449705882356</v>
      </c>
      <c r="AL181" s="1615"/>
      <c r="AM181" s="1604"/>
      <c r="AN181" s="151" t="s">
        <v>302</v>
      </c>
      <c r="AO181" s="1902" t="s">
        <v>895</v>
      </c>
      <c r="AP181" s="98"/>
      <c r="AQ181" s="98"/>
    </row>
    <row r="182" spans="1:43" ht="51.75" thickBot="1" x14ac:dyDescent="0.3">
      <c r="A182" s="794" t="s">
        <v>631</v>
      </c>
      <c r="B182" s="708" t="s">
        <v>809</v>
      </c>
      <c r="C182" s="709">
        <v>2</v>
      </c>
      <c r="D182" s="710">
        <v>2</v>
      </c>
      <c r="E182" s="668">
        <v>0</v>
      </c>
      <c r="F182" s="573">
        <v>0</v>
      </c>
      <c r="G182" s="573">
        <v>0</v>
      </c>
      <c r="H182" s="561">
        <f t="shared" si="232"/>
        <v>0</v>
      </c>
      <c r="I182" s="557">
        <f t="shared" si="233"/>
        <v>0</v>
      </c>
      <c r="J182" s="594" t="s">
        <v>1003</v>
      </c>
      <c r="K182" s="569"/>
      <c r="L182" s="177"/>
      <c r="M182" s="178"/>
      <c r="N182" s="568"/>
      <c r="O182" s="173"/>
      <c r="P182" s="173"/>
      <c r="Q182" s="173"/>
      <c r="R182" s="574"/>
      <c r="S182" s="173"/>
      <c r="T182" s="194">
        <v>4</v>
      </c>
      <c r="U182" s="935">
        <f t="shared" si="234"/>
        <v>0</v>
      </c>
      <c r="V182" s="1679">
        <f t="shared" si="235"/>
        <v>0</v>
      </c>
      <c r="W182" s="416">
        <v>7.0000000000000007E-2</v>
      </c>
      <c r="X182" s="436">
        <v>7.0000000000000007E-2</v>
      </c>
      <c r="Y182" s="795">
        <v>20000000</v>
      </c>
      <c r="Z182" s="796" t="s">
        <v>892</v>
      </c>
      <c r="AA182" s="797">
        <f>40285225*0.19</f>
        <v>7654192.75</v>
      </c>
      <c r="AB182" s="1610">
        <f t="shared" si="149"/>
        <v>0.38270963749999998</v>
      </c>
      <c r="AC182" s="797">
        <f>36548093*0.19</f>
        <v>6944137.6699999999</v>
      </c>
      <c r="AD182" s="894">
        <f t="shared" si="154"/>
        <v>0.34720688350000001</v>
      </c>
      <c r="AE182" s="1611">
        <f>+AA182-AC182</f>
        <v>710055.08000000007</v>
      </c>
      <c r="AF182" s="1563" t="s">
        <v>892</v>
      </c>
      <c r="AG182" s="796" t="s">
        <v>892</v>
      </c>
      <c r="AH182" s="1612" t="e">
        <f t="shared" si="155"/>
        <v>#DIV/0!</v>
      </c>
      <c r="AI182" s="1614">
        <v>100000000</v>
      </c>
      <c r="AJ182" s="1614">
        <f t="shared" si="231"/>
        <v>7654192.75</v>
      </c>
      <c r="AK182" s="894">
        <f t="shared" si="163"/>
        <v>7.6541927499999995E-2</v>
      </c>
      <c r="AL182" s="1615"/>
      <c r="AM182" s="1615"/>
      <c r="AN182" s="589" t="s">
        <v>302</v>
      </c>
      <c r="AO182" s="1897"/>
      <c r="AP182" s="594"/>
      <c r="AQ182" s="594"/>
    </row>
    <row r="183" spans="1:43" ht="13.5" thickBot="1" x14ac:dyDescent="0.3">
      <c r="A183" s="742" t="s">
        <v>490</v>
      </c>
      <c r="B183" s="743"/>
      <c r="C183" s="744"/>
      <c r="D183" s="745"/>
      <c r="E183" s="746"/>
      <c r="F183" s="744"/>
      <c r="G183" s="744"/>
      <c r="H183" s="747">
        <f>+(H185*34%)+(H186*33%)+(H187*33%)</f>
        <v>1</v>
      </c>
      <c r="I183" s="748">
        <f>+SUMPRODUCT(I184:I189,X184:X189)</f>
        <v>0.29565217391304349</v>
      </c>
      <c r="J183" s="213"/>
      <c r="K183" s="211"/>
      <c r="L183" s="749"/>
      <c r="M183" s="750"/>
      <c r="N183" s="750"/>
      <c r="O183" s="751"/>
      <c r="P183" s="751"/>
      <c r="Q183" s="751"/>
      <c r="R183" s="752"/>
      <c r="S183" s="751"/>
      <c r="T183" s="753"/>
      <c r="U183" s="754"/>
      <c r="V183" s="755">
        <f>+SUMPRODUCT(V184:V189,W184:W189)</f>
        <v>0.30000000000000004</v>
      </c>
      <c r="W183" s="747">
        <v>0.3</v>
      </c>
      <c r="X183" s="756">
        <v>0.3</v>
      </c>
      <c r="Y183" s="757">
        <f>SUM(Y184:Y189)</f>
        <v>1000000000</v>
      </c>
      <c r="Z183" s="757">
        <f>SUM(Z184:Z189)</f>
        <v>112250000</v>
      </c>
      <c r="AA183" s="757">
        <f>SUM(AA184:AA189)</f>
        <v>985882952</v>
      </c>
      <c r="AB183" s="758">
        <f t="shared" si="149"/>
        <v>0.98588295199999998</v>
      </c>
      <c r="AC183" s="757">
        <f>SUM(AC184:AC189)</f>
        <v>608304230</v>
      </c>
      <c r="AD183" s="748">
        <f t="shared" si="154"/>
        <v>0.60830423</v>
      </c>
      <c r="AE183" s="928">
        <f>SUM(AE184:AE189)</f>
        <v>377578722</v>
      </c>
      <c r="AF183" s="750">
        <f>SUM(AF184:AF189)</f>
        <v>35850000</v>
      </c>
      <c r="AG183" s="757">
        <f>SUM(AG184:AG189)</f>
        <v>28850000</v>
      </c>
      <c r="AH183" s="760">
        <f t="shared" si="155"/>
        <v>0.80474198047419809</v>
      </c>
      <c r="AI183" s="757">
        <f t="shared" ref="AI183:AJ183" si="236">SUM(AI184:AI189)</f>
        <v>2260000000</v>
      </c>
      <c r="AJ183" s="757">
        <f t="shared" si="236"/>
        <v>1098132952</v>
      </c>
      <c r="AK183" s="747">
        <f t="shared" si="163"/>
        <v>0.48589953628318583</v>
      </c>
      <c r="AL183" s="761"/>
      <c r="AM183" s="761"/>
      <c r="AN183" s="210"/>
      <c r="AO183" s="928"/>
      <c r="AP183" s="213"/>
      <c r="AQ183" s="213"/>
    </row>
    <row r="184" spans="1:43" ht="51" x14ac:dyDescent="0.25">
      <c r="A184" s="266" t="s">
        <v>632</v>
      </c>
      <c r="B184" s="356" t="s">
        <v>781</v>
      </c>
      <c r="C184" s="382">
        <v>0</v>
      </c>
      <c r="D184" s="315">
        <v>2</v>
      </c>
      <c r="E184" s="727">
        <v>0</v>
      </c>
      <c r="F184" s="728">
        <v>0</v>
      </c>
      <c r="G184" s="728"/>
      <c r="H184" s="729" t="e">
        <f t="shared" ref="H184:H189" si="237">IF((E184+G184)/C184&gt;=100%,100%,(E184+G184)/C184)</f>
        <v>#DIV/0!</v>
      </c>
      <c r="I184" s="730">
        <f t="shared" ref="I184:I189" si="238">IF(F184/D184&gt;=100%,100%,F184/D184)</f>
        <v>0</v>
      </c>
      <c r="J184" s="586" t="s">
        <v>1004</v>
      </c>
      <c r="K184" s="563"/>
      <c r="L184" s="731"/>
      <c r="M184" s="732"/>
      <c r="N184" s="585"/>
      <c r="O184" s="733"/>
      <c r="P184" s="733"/>
      <c r="Q184" s="733"/>
      <c r="R184" s="734"/>
      <c r="S184" s="733"/>
      <c r="T184" s="735">
        <v>4</v>
      </c>
      <c r="U184" s="736">
        <f>SUM(E184:G184)</f>
        <v>0</v>
      </c>
      <c r="V184" s="1684">
        <f t="shared" ref="V184" si="239">IF(U184/T184&gt;=100%,100%,U184/T184)</f>
        <v>0</v>
      </c>
      <c r="W184" s="418">
        <v>0.3</v>
      </c>
      <c r="X184" s="438">
        <v>0.3</v>
      </c>
      <c r="Y184" s="473">
        <v>380000000</v>
      </c>
      <c r="Z184" s="473" t="s">
        <v>892</v>
      </c>
      <c r="AA184" s="473">
        <v>374099447</v>
      </c>
      <c r="AB184" s="1596">
        <f t="shared" si="149"/>
        <v>0.98447222894736841</v>
      </c>
      <c r="AC184" s="473">
        <v>360589843</v>
      </c>
      <c r="AD184" s="1674">
        <f t="shared" si="154"/>
        <v>0.94892063947368421</v>
      </c>
      <c r="AE184" s="1598">
        <f t="shared" ref="AE184:AE189" si="240">+AA184-AC184</f>
        <v>13509604</v>
      </c>
      <c r="AF184" s="1557" t="s">
        <v>892</v>
      </c>
      <c r="AG184" s="473" t="s">
        <v>892</v>
      </c>
      <c r="AH184" s="1097" t="e">
        <f t="shared" si="155"/>
        <v>#DIV/0!</v>
      </c>
      <c r="AI184" s="1599">
        <v>800000000</v>
      </c>
      <c r="AJ184" s="1599">
        <f t="shared" si="231"/>
        <v>374099447</v>
      </c>
      <c r="AK184" s="1652">
        <f t="shared" si="163"/>
        <v>0.46762430875</v>
      </c>
      <c r="AL184" s="1671"/>
      <c r="AM184" s="1600"/>
      <c r="AN184" s="602" t="s">
        <v>302</v>
      </c>
      <c r="AO184" s="356" t="s">
        <v>922</v>
      </c>
      <c r="AP184" s="595"/>
      <c r="AQ184" s="595"/>
    </row>
    <row r="185" spans="1:43" ht="114.75" x14ac:dyDescent="0.25">
      <c r="A185" s="266" t="s">
        <v>633</v>
      </c>
      <c r="B185" s="356" t="s">
        <v>884</v>
      </c>
      <c r="C185" s="382">
        <v>23</v>
      </c>
      <c r="D185" s="315">
        <v>23</v>
      </c>
      <c r="E185" s="182">
        <v>23</v>
      </c>
      <c r="F185" s="147">
        <v>22</v>
      </c>
      <c r="G185" s="147"/>
      <c r="H185" s="167">
        <f t="shared" si="237"/>
        <v>1</v>
      </c>
      <c r="I185" s="520">
        <f t="shared" si="238"/>
        <v>0.95652173913043481</v>
      </c>
      <c r="J185" s="604" t="s">
        <v>1107</v>
      </c>
      <c r="K185" s="569"/>
      <c r="L185" s="102"/>
      <c r="M185" s="104"/>
      <c r="N185" s="146"/>
      <c r="O185" s="173"/>
      <c r="P185" s="173"/>
      <c r="Q185" s="173"/>
      <c r="R185" s="150"/>
      <c r="S185" s="173"/>
      <c r="T185" s="194">
        <v>23</v>
      </c>
      <c r="U185" s="195">
        <f t="shared" ref="U185:U188" si="241">SUM(E185:G185)</f>
        <v>45</v>
      </c>
      <c r="V185" s="1684">
        <f t="shared" ref="V185:V189" si="242">IF(U185/T185&gt;=100%,100%,U185/T185)</f>
        <v>1</v>
      </c>
      <c r="W185" s="419">
        <v>0.1</v>
      </c>
      <c r="X185" s="439">
        <v>0.1</v>
      </c>
      <c r="Y185" s="502">
        <v>50000000</v>
      </c>
      <c r="Z185" s="473">
        <v>40000000</v>
      </c>
      <c r="AA185" s="473">
        <v>49223482</v>
      </c>
      <c r="AB185" s="1095">
        <f t="shared" si="149"/>
        <v>0.98446964000000003</v>
      </c>
      <c r="AC185" s="473">
        <v>47478795</v>
      </c>
      <c r="AD185" s="1104">
        <f t="shared" si="154"/>
        <v>0.94957590000000003</v>
      </c>
      <c r="AE185" s="1601">
        <f t="shared" si="240"/>
        <v>1744687</v>
      </c>
      <c r="AF185" s="1557">
        <v>10600000</v>
      </c>
      <c r="AG185" s="473">
        <v>3600000</v>
      </c>
      <c r="AH185" s="1097">
        <f t="shared" si="155"/>
        <v>0.33962264150943394</v>
      </c>
      <c r="AI185" s="1693">
        <v>186666666</v>
      </c>
      <c r="AJ185" s="1693">
        <f t="shared" si="231"/>
        <v>89223482</v>
      </c>
      <c r="AK185" s="894">
        <f t="shared" si="163"/>
        <v>0.4779829409927962</v>
      </c>
      <c r="AL185" s="1615"/>
      <c r="AM185" s="1604"/>
      <c r="AN185" s="601" t="s">
        <v>20</v>
      </c>
      <c r="AO185" s="357" t="s">
        <v>923</v>
      </c>
      <c r="AP185" s="98"/>
      <c r="AQ185" s="98"/>
    </row>
    <row r="186" spans="1:43" ht="76.5" x14ac:dyDescent="0.25">
      <c r="A186" s="266" t="s">
        <v>634</v>
      </c>
      <c r="B186" s="356" t="s">
        <v>810</v>
      </c>
      <c r="C186" s="383">
        <v>1</v>
      </c>
      <c r="D186" s="316">
        <v>1</v>
      </c>
      <c r="E186" s="228">
        <v>1</v>
      </c>
      <c r="F186" s="169">
        <v>1</v>
      </c>
      <c r="G186" s="147"/>
      <c r="H186" s="167">
        <f t="shared" si="237"/>
        <v>1</v>
      </c>
      <c r="I186" s="520">
        <f t="shared" si="238"/>
        <v>1</v>
      </c>
      <c r="J186" s="604" t="s">
        <v>1005</v>
      </c>
      <c r="K186" s="569"/>
      <c r="L186" s="102"/>
      <c r="M186" s="104"/>
      <c r="N186" s="146"/>
      <c r="O186" s="173"/>
      <c r="P186" s="173"/>
      <c r="Q186" s="173"/>
      <c r="R186" s="150"/>
      <c r="S186" s="173"/>
      <c r="T186" s="179">
        <v>1</v>
      </c>
      <c r="U186" s="195">
        <f t="shared" si="241"/>
        <v>2</v>
      </c>
      <c r="V186" s="1684">
        <f t="shared" si="242"/>
        <v>1</v>
      </c>
      <c r="W186" s="420">
        <v>0.1</v>
      </c>
      <c r="X186" s="440">
        <v>0.1</v>
      </c>
      <c r="Y186" s="502">
        <v>50000000</v>
      </c>
      <c r="Z186" s="473">
        <v>37050000</v>
      </c>
      <c r="AA186" s="473">
        <v>49223482</v>
      </c>
      <c r="AB186" s="1095">
        <f t="shared" si="149"/>
        <v>0.98446964000000003</v>
      </c>
      <c r="AC186" s="473">
        <v>47478795</v>
      </c>
      <c r="AD186" s="1104">
        <f t="shared" si="154"/>
        <v>0.94957590000000003</v>
      </c>
      <c r="AE186" s="1601">
        <f t="shared" si="240"/>
        <v>1744687</v>
      </c>
      <c r="AF186" s="1557">
        <v>12250000</v>
      </c>
      <c r="AG186" s="473">
        <v>12250000</v>
      </c>
      <c r="AH186" s="1097">
        <f t="shared" si="155"/>
        <v>1</v>
      </c>
      <c r="AI186" s="1693">
        <v>186666667</v>
      </c>
      <c r="AJ186" s="1693">
        <f t="shared" si="231"/>
        <v>86273482</v>
      </c>
      <c r="AK186" s="894">
        <f t="shared" si="163"/>
        <v>0.46217936703182255</v>
      </c>
      <c r="AL186" s="1615"/>
      <c r="AM186" s="1604"/>
      <c r="AN186" s="601" t="s">
        <v>302</v>
      </c>
      <c r="AO186" s="357" t="s">
        <v>914</v>
      </c>
      <c r="AP186" s="98"/>
      <c r="AQ186" s="98"/>
    </row>
    <row r="187" spans="1:43" ht="102" x14ac:dyDescent="0.25">
      <c r="A187" s="266" t="s">
        <v>635</v>
      </c>
      <c r="B187" s="357" t="s">
        <v>885</v>
      </c>
      <c r="C187" s="383">
        <v>1</v>
      </c>
      <c r="D187" s="316">
        <v>1</v>
      </c>
      <c r="E187" s="228">
        <v>1</v>
      </c>
      <c r="F187" s="169">
        <v>1</v>
      </c>
      <c r="G187" s="147"/>
      <c r="H187" s="167">
        <f t="shared" si="237"/>
        <v>1</v>
      </c>
      <c r="I187" s="520">
        <f t="shared" si="238"/>
        <v>1</v>
      </c>
      <c r="J187" s="604" t="s">
        <v>1006</v>
      </c>
      <c r="K187" s="569"/>
      <c r="L187" s="102"/>
      <c r="M187" s="104"/>
      <c r="N187" s="146"/>
      <c r="O187" s="173"/>
      <c r="P187" s="173"/>
      <c r="Q187" s="173"/>
      <c r="R187" s="150"/>
      <c r="S187" s="173"/>
      <c r="T187" s="179">
        <v>1</v>
      </c>
      <c r="U187" s="195">
        <f t="shared" si="241"/>
        <v>2</v>
      </c>
      <c r="V187" s="1684">
        <f t="shared" si="242"/>
        <v>1</v>
      </c>
      <c r="W187" s="421">
        <v>0.1</v>
      </c>
      <c r="X187" s="441">
        <v>0.1</v>
      </c>
      <c r="Y187" s="502">
        <v>40000000</v>
      </c>
      <c r="Z187" s="473">
        <v>35200000</v>
      </c>
      <c r="AA187" s="473">
        <v>39466418</v>
      </c>
      <c r="AB187" s="1095">
        <f t="shared" si="149"/>
        <v>0.98666045000000002</v>
      </c>
      <c r="AC187" s="473">
        <v>37943187</v>
      </c>
      <c r="AD187" s="1104">
        <f t="shared" si="154"/>
        <v>0.94857967499999996</v>
      </c>
      <c r="AE187" s="1601">
        <f t="shared" si="240"/>
        <v>1523231</v>
      </c>
      <c r="AF187" s="1557">
        <v>13000000</v>
      </c>
      <c r="AG187" s="473">
        <v>13000000</v>
      </c>
      <c r="AH187" s="1097">
        <f t="shared" si="155"/>
        <v>1</v>
      </c>
      <c r="AI187" s="1693">
        <v>186666667</v>
      </c>
      <c r="AJ187" s="1693">
        <f t="shared" si="231"/>
        <v>74666418</v>
      </c>
      <c r="AK187" s="935">
        <f t="shared" si="163"/>
        <v>0.39999866714285953</v>
      </c>
      <c r="AL187" s="1615"/>
      <c r="AM187" s="1604"/>
      <c r="AN187" s="601" t="s">
        <v>29</v>
      </c>
      <c r="AO187" s="357" t="s">
        <v>906</v>
      </c>
      <c r="AP187" s="98"/>
      <c r="AQ187" s="98"/>
    </row>
    <row r="188" spans="1:43" ht="114.75" x14ac:dyDescent="0.25">
      <c r="A188" s="266" t="s">
        <v>636</v>
      </c>
      <c r="B188" s="356" t="s">
        <v>811</v>
      </c>
      <c r="C188" s="382">
        <v>0</v>
      </c>
      <c r="D188" s="315">
        <v>1</v>
      </c>
      <c r="E188" s="227">
        <v>0</v>
      </c>
      <c r="F188" s="147">
        <v>0</v>
      </c>
      <c r="G188" s="147"/>
      <c r="H188" s="167" t="e">
        <f t="shared" si="237"/>
        <v>#DIV/0!</v>
      </c>
      <c r="I188" s="520">
        <f t="shared" si="238"/>
        <v>0</v>
      </c>
      <c r="J188" s="594" t="s">
        <v>1007</v>
      </c>
      <c r="K188" s="569"/>
      <c r="L188" s="102"/>
      <c r="M188" s="104"/>
      <c r="N188" s="146"/>
      <c r="O188" s="173"/>
      <c r="P188" s="173"/>
      <c r="Q188" s="173"/>
      <c r="R188" s="150"/>
      <c r="S188" s="173"/>
      <c r="T188" s="194">
        <v>1</v>
      </c>
      <c r="U188" s="195">
        <f t="shared" si="241"/>
        <v>0</v>
      </c>
      <c r="V188" s="1684">
        <f t="shared" si="242"/>
        <v>0</v>
      </c>
      <c r="W188" s="421">
        <v>0.1</v>
      </c>
      <c r="X188" s="441">
        <v>0.1</v>
      </c>
      <c r="Y188" s="473">
        <v>100000000</v>
      </c>
      <c r="Z188" s="473" t="s">
        <v>892</v>
      </c>
      <c r="AA188" s="473">
        <v>98446960</v>
      </c>
      <c r="AB188" s="1095">
        <f t="shared" si="149"/>
        <v>0.98446959999999994</v>
      </c>
      <c r="AC188" s="473">
        <v>51582590</v>
      </c>
      <c r="AD188" s="1104">
        <f t="shared" si="154"/>
        <v>0.51582589999999995</v>
      </c>
      <c r="AE188" s="1601">
        <f t="shared" si="240"/>
        <v>46864370</v>
      </c>
      <c r="AF188" s="1557" t="s">
        <v>892</v>
      </c>
      <c r="AG188" s="473" t="s">
        <v>892</v>
      </c>
      <c r="AH188" s="1097" t="e">
        <f t="shared" si="155"/>
        <v>#DIV/0!</v>
      </c>
      <c r="AI188" s="1603">
        <v>100000000</v>
      </c>
      <c r="AJ188" s="1603">
        <f t="shared" si="231"/>
        <v>98446960</v>
      </c>
      <c r="AK188" s="1104">
        <f t="shared" si="163"/>
        <v>0.98446959999999994</v>
      </c>
      <c r="AL188" s="1615"/>
      <c r="AM188" s="1604"/>
      <c r="AN188" s="601" t="s">
        <v>302</v>
      </c>
      <c r="AO188" s="357" t="s">
        <v>923</v>
      </c>
      <c r="AP188" s="98"/>
      <c r="AQ188" s="98"/>
    </row>
    <row r="189" spans="1:43" ht="114.75" x14ac:dyDescent="0.25">
      <c r="A189" s="266" t="s">
        <v>637</v>
      </c>
      <c r="B189" s="356" t="s">
        <v>812</v>
      </c>
      <c r="C189" s="382">
        <v>0</v>
      </c>
      <c r="D189" s="315">
        <v>2</v>
      </c>
      <c r="E189" s="227">
        <v>0</v>
      </c>
      <c r="F189" s="147">
        <v>0</v>
      </c>
      <c r="G189" s="147"/>
      <c r="H189" s="167" t="e">
        <f t="shared" si="237"/>
        <v>#DIV/0!</v>
      </c>
      <c r="I189" s="520">
        <f t="shared" si="238"/>
        <v>0</v>
      </c>
      <c r="J189" s="594" t="s">
        <v>1008</v>
      </c>
      <c r="K189" s="569"/>
      <c r="L189" s="102"/>
      <c r="M189" s="104"/>
      <c r="N189" s="146"/>
      <c r="O189" s="173"/>
      <c r="P189" s="173"/>
      <c r="Q189" s="173"/>
      <c r="R189" s="150"/>
      <c r="S189" s="173"/>
      <c r="T189" s="194">
        <v>4</v>
      </c>
      <c r="U189" s="195">
        <f>SUM(E189:G189)</f>
        <v>0</v>
      </c>
      <c r="V189" s="1684">
        <f t="shared" si="242"/>
        <v>0</v>
      </c>
      <c r="W189" s="421">
        <v>0.3</v>
      </c>
      <c r="X189" s="441">
        <v>0.3</v>
      </c>
      <c r="Y189" s="473">
        <v>380000000</v>
      </c>
      <c r="Z189" s="473" t="s">
        <v>892</v>
      </c>
      <c r="AA189" s="473">
        <v>375423163</v>
      </c>
      <c r="AB189" s="1095">
        <f t="shared" si="149"/>
        <v>0.98795569210526313</v>
      </c>
      <c r="AC189" s="473">
        <v>63231020</v>
      </c>
      <c r="AD189" s="894">
        <f t="shared" si="154"/>
        <v>0.16639742105263158</v>
      </c>
      <c r="AE189" s="1601">
        <f t="shared" si="240"/>
        <v>312192143</v>
      </c>
      <c r="AF189" s="1557" t="s">
        <v>892</v>
      </c>
      <c r="AG189" s="473" t="s">
        <v>892</v>
      </c>
      <c r="AH189" s="1097" t="e">
        <f t="shared" si="155"/>
        <v>#DIV/0!</v>
      </c>
      <c r="AI189" s="1603">
        <v>800000000</v>
      </c>
      <c r="AJ189" s="1603">
        <f t="shared" si="231"/>
        <v>375423163</v>
      </c>
      <c r="AK189" s="894">
        <f t="shared" si="163"/>
        <v>0.46927895375000001</v>
      </c>
      <c r="AL189" s="1615"/>
      <c r="AM189" s="1604"/>
      <c r="AN189" s="601" t="s">
        <v>302</v>
      </c>
      <c r="AO189" s="357" t="s">
        <v>923</v>
      </c>
      <c r="AP189" s="98"/>
      <c r="AQ189" s="98"/>
    </row>
    <row r="190" spans="1:43" s="554" customFormat="1" ht="39" thickBot="1" x14ac:dyDescent="0.3">
      <c r="A190" s="716" t="s">
        <v>440</v>
      </c>
      <c r="B190" s="160"/>
      <c r="C190" s="717"/>
      <c r="D190" s="718"/>
      <c r="E190" s="719"/>
      <c r="F190" s="717"/>
      <c r="G190" s="717"/>
      <c r="H190" s="720">
        <f>+(H191*100%)</f>
        <v>0.93160000000000009</v>
      </c>
      <c r="I190" s="518">
        <f>+(I191*X191)+(I200*X200)</f>
        <v>0.74998719999999996</v>
      </c>
      <c r="J190" s="592"/>
      <c r="K190" s="570"/>
      <c r="L190" s="161"/>
      <c r="M190" s="587"/>
      <c r="N190" s="587"/>
      <c r="O190" s="215"/>
      <c r="P190" s="215"/>
      <c r="Q190" s="215"/>
      <c r="R190" s="721"/>
      <c r="S190" s="215"/>
      <c r="T190" s="216"/>
      <c r="U190" s="209"/>
      <c r="V190" s="1759">
        <f>+(V191*W191)+(V200*W200)</f>
        <v>0.46116550000000001</v>
      </c>
      <c r="W190" s="722">
        <v>0.25</v>
      </c>
      <c r="X190" s="723">
        <v>0.28999999999999998</v>
      </c>
      <c r="Y190" s="724">
        <f>+Y191+Y200</f>
        <v>2210000000</v>
      </c>
      <c r="Z190" s="724">
        <f>+Z191+Z200</f>
        <v>1771156569</v>
      </c>
      <c r="AA190" s="724">
        <f>+AA191+AA200</f>
        <v>2156403564</v>
      </c>
      <c r="AB190" s="725">
        <f t="shared" si="149"/>
        <v>0.97574821900452491</v>
      </c>
      <c r="AC190" s="724">
        <f>+AC191+AC200</f>
        <v>1910274275</v>
      </c>
      <c r="AD190" s="518">
        <f t="shared" si="154"/>
        <v>0.86437750000000002</v>
      </c>
      <c r="AE190" s="160">
        <f>+AE191+AE200</f>
        <v>246129289</v>
      </c>
      <c r="AF190" s="587">
        <f>+AF191+AF200</f>
        <v>362675833</v>
      </c>
      <c r="AG190" s="724">
        <f>+AG191+AG200</f>
        <v>344200542</v>
      </c>
      <c r="AH190" s="726">
        <f t="shared" si="155"/>
        <v>0.94905838956189836</v>
      </c>
      <c r="AI190" s="724">
        <f t="shared" ref="AI190:AJ190" si="243">+AI191+AI200</f>
        <v>7110000000</v>
      </c>
      <c r="AJ190" s="724">
        <f t="shared" si="243"/>
        <v>3927560133</v>
      </c>
      <c r="AK190" s="518">
        <f t="shared" si="163"/>
        <v>0.55239945611814345</v>
      </c>
      <c r="AL190" s="161"/>
      <c r="AM190" s="161" t="s">
        <v>293</v>
      </c>
      <c r="AN190" s="587"/>
      <c r="AO190" s="160"/>
      <c r="AP190" s="592"/>
      <c r="AQ190" s="592"/>
    </row>
    <row r="191" spans="1:43" ht="13.5" thickBot="1" x14ac:dyDescent="0.3">
      <c r="A191" s="742" t="s">
        <v>491</v>
      </c>
      <c r="B191" s="743"/>
      <c r="C191" s="744"/>
      <c r="D191" s="745"/>
      <c r="E191" s="746"/>
      <c r="F191" s="744"/>
      <c r="G191" s="744"/>
      <c r="H191" s="747">
        <f>+(H192*36%)+(H193*16%)+(H194*14%)+(H197*18%)+(H198*16%)</f>
        <v>0.93160000000000009</v>
      </c>
      <c r="I191" s="748">
        <f>+SUMPRODUCT(I192:I199,X192:X199)</f>
        <v>0.72220799999999996</v>
      </c>
      <c r="J191" s="213"/>
      <c r="K191" s="211"/>
      <c r="L191" s="749"/>
      <c r="M191" s="750"/>
      <c r="N191" s="750"/>
      <c r="O191" s="751"/>
      <c r="P191" s="751"/>
      <c r="Q191" s="751"/>
      <c r="R191" s="752"/>
      <c r="S191" s="751"/>
      <c r="T191" s="753"/>
      <c r="U191" s="754"/>
      <c r="V191" s="755">
        <f>+SUMPRODUCT(V192:V199,W192:W199)</f>
        <v>0.40129499999999996</v>
      </c>
      <c r="W191" s="747">
        <v>0.9</v>
      </c>
      <c r="X191" s="756">
        <v>0.9</v>
      </c>
      <c r="Y191" s="757">
        <f>SUM(Y192:Y199)</f>
        <v>1960000000</v>
      </c>
      <c r="Z191" s="757">
        <f>SUM(Z192:Z199)</f>
        <v>1771156569</v>
      </c>
      <c r="AA191" s="757">
        <f>SUM(AA192:AA199)</f>
        <v>1912286166</v>
      </c>
      <c r="AB191" s="758">
        <f t="shared" si="149"/>
        <v>0.97565620714285717</v>
      </c>
      <c r="AC191" s="759">
        <f>SUM(AC192:AC199)</f>
        <v>1688979721</v>
      </c>
      <c r="AD191" s="748">
        <f t="shared" si="154"/>
        <v>0.86172434744897963</v>
      </c>
      <c r="AE191" s="928">
        <f>SUM(AE192:AE199)</f>
        <v>223306445</v>
      </c>
      <c r="AF191" s="750">
        <f>SUM(AF192:AF199)</f>
        <v>362675833</v>
      </c>
      <c r="AG191" s="757">
        <f>SUM(AG192:AG199)</f>
        <v>344200542</v>
      </c>
      <c r="AH191" s="760">
        <f t="shared" si="155"/>
        <v>0.94905838956189836</v>
      </c>
      <c r="AI191" s="757">
        <f t="shared" ref="AI191:AJ191" si="244">SUM(AI192:AI199)</f>
        <v>6860000000</v>
      </c>
      <c r="AJ191" s="757">
        <f t="shared" si="244"/>
        <v>3683442735</v>
      </c>
      <c r="AK191" s="748">
        <f t="shared" si="163"/>
        <v>0.5369450051020408</v>
      </c>
      <c r="AL191" s="761"/>
      <c r="AM191" s="761"/>
      <c r="AN191" s="210"/>
      <c r="AO191" s="928"/>
      <c r="AP191" s="213"/>
      <c r="AQ191" s="213"/>
    </row>
    <row r="192" spans="1:43" ht="127.5" x14ac:dyDescent="0.25">
      <c r="A192" s="263" t="s">
        <v>638</v>
      </c>
      <c r="B192" s="353" t="s">
        <v>813</v>
      </c>
      <c r="C192" s="384">
        <v>1</v>
      </c>
      <c r="D192" s="317">
        <v>1</v>
      </c>
      <c r="E192" s="1438">
        <v>0.93500000000000005</v>
      </c>
      <c r="F192" s="987">
        <v>0.82</v>
      </c>
      <c r="G192" s="987">
        <v>2.5000000000000001E-2</v>
      </c>
      <c r="H192" s="1592">
        <f>IF((E192+G192)/C192&gt;=100%,100%,(E192+G192)/C192)</f>
        <v>0.96000000000000008</v>
      </c>
      <c r="I192" s="1597">
        <f t="shared" ref="I192" si="245">IF(F192/D192&gt;=100%,100%,F192/D192)</f>
        <v>0.82</v>
      </c>
      <c r="J192" s="1687" t="s">
        <v>1009</v>
      </c>
      <c r="K192" s="1688"/>
      <c r="L192" s="1588"/>
      <c r="M192" s="1589"/>
      <c r="N192" s="1587"/>
      <c r="O192" s="1689"/>
      <c r="P192" s="1689"/>
      <c r="Q192" s="1689"/>
      <c r="R192" s="1591"/>
      <c r="S192" s="1689"/>
      <c r="T192" s="229">
        <v>4</v>
      </c>
      <c r="U192" s="1592">
        <f>SUM(E192:G192)</f>
        <v>1.7799999999999998</v>
      </c>
      <c r="V192" s="1684">
        <f t="shared" ref="V192" si="246">IF(U192/T192&gt;=100%,100%,U192/T192)</f>
        <v>0.44499999999999995</v>
      </c>
      <c r="W192" s="422">
        <v>0.3</v>
      </c>
      <c r="X192" s="1651">
        <v>0.3</v>
      </c>
      <c r="Y192" s="793">
        <v>600000000</v>
      </c>
      <c r="Z192" s="285">
        <f>299700000+367923631+632082938</f>
        <v>1299706569</v>
      </c>
      <c r="AA192" s="285">
        <v>591956476</v>
      </c>
      <c r="AB192" s="1596">
        <f t="shared" si="149"/>
        <v>0.98659412666666668</v>
      </c>
      <c r="AC192" s="285">
        <v>533085672</v>
      </c>
      <c r="AD192" s="1674">
        <f t="shared" si="154"/>
        <v>0.88847611999999998</v>
      </c>
      <c r="AE192" s="1598">
        <f>+AA192-AC192</f>
        <v>58870804</v>
      </c>
      <c r="AF192" s="1558">
        <f>43164523+100161310+45400000</f>
        <v>188725833</v>
      </c>
      <c r="AG192" s="285">
        <f>35671583+89178959+45400000</f>
        <v>170250542</v>
      </c>
      <c r="AH192" s="1097">
        <f t="shared" si="155"/>
        <v>0.90210512940218412</v>
      </c>
      <c r="AI192" s="1599">
        <f>4900000000/2</f>
        <v>2450000000</v>
      </c>
      <c r="AJ192" s="1599">
        <f t="shared" ref="AJ192:AJ201" si="247">+SUM(Z192:AA192)</f>
        <v>1891663045</v>
      </c>
      <c r="AK192" s="1674">
        <f t="shared" si="163"/>
        <v>0.77210736530612245</v>
      </c>
      <c r="AL192" s="1671"/>
      <c r="AM192" s="1600"/>
      <c r="AN192" s="591" t="s">
        <v>25</v>
      </c>
      <c r="AO192" s="1787" t="s">
        <v>895</v>
      </c>
      <c r="AP192" s="595"/>
      <c r="AQ192" s="595"/>
    </row>
    <row r="193" spans="1:43" ht="51" x14ac:dyDescent="0.25">
      <c r="A193" s="263" t="s">
        <v>639</v>
      </c>
      <c r="B193" s="353" t="s">
        <v>814</v>
      </c>
      <c r="C193" s="384">
        <v>1</v>
      </c>
      <c r="D193" s="317">
        <v>1</v>
      </c>
      <c r="E193" s="230">
        <v>0.85</v>
      </c>
      <c r="F193" s="600">
        <v>0.43</v>
      </c>
      <c r="G193" s="600">
        <v>0.11</v>
      </c>
      <c r="H193" s="598">
        <f t="shared" ref="H193:H197" si="248">IF((E193+G193)/C193&gt;=100%,100%,(E193+G193)/C193)</f>
        <v>0.96</v>
      </c>
      <c r="I193" s="1096">
        <f t="shared" ref="I193:I198" si="249">IF(F193/D193&gt;=100%,100%,F193/D193)</f>
        <v>0.43</v>
      </c>
      <c r="J193" s="604" t="s">
        <v>1010</v>
      </c>
      <c r="K193" s="1088"/>
      <c r="L193" s="1583"/>
      <c r="M193" s="1584"/>
      <c r="N193" s="1085"/>
      <c r="O193" s="1090"/>
      <c r="P193" s="1090"/>
      <c r="Q193" s="1090"/>
      <c r="R193" s="1091"/>
      <c r="S193" s="1090"/>
      <c r="T193" s="229">
        <v>4</v>
      </c>
      <c r="U193" s="598">
        <f>SUM(E193:G193)</f>
        <v>1.3900000000000001</v>
      </c>
      <c r="V193" s="1684">
        <f t="shared" ref="V193:V196" si="250">IF(U193/T193&gt;=100%,100%,U193/T193)</f>
        <v>0.34750000000000003</v>
      </c>
      <c r="W193" s="422">
        <v>0.1</v>
      </c>
      <c r="X193" s="1093">
        <v>0.14000000000000001</v>
      </c>
      <c r="Y193" s="503">
        <v>600000000</v>
      </c>
      <c r="Z193" s="285">
        <v>299800000</v>
      </c>
      <c r="AA193" s="285">
        <v>591956476</v>
      </c>
      <c r="AB193" s="1095">
        <f t="shared" si="149"/>
        <v>0.98659412666666668</v>
      </c>
      <c r="AC193" s="285">
        <v>522105349</v>
      </c>
      <c r="AD193" s="1104">
        <f t="shared" si="154"/>
        <v>0.87017558166666664</v>
      </c>
      <c r="AE193" s="1601">
        <f>+AA193-AC193</f>
        <v>69851127</v>
      </c>
      <c r="AF193" s="1558">
        <v>123000000</v>
      </c>
      <c r="AG193" s="285">
        <v>123000000</v>
      </c>
      <c r="AH193" s="1097">
        <f t="shared" si="155"/>
        <v>1</v>
      </c>
      <c r="AI193" s="1603">
        <f>4900000000/2</f>
        <v>2450000000</v>
      </c>
      <c r="AJ193" s="1603">
        <f t="shared" si="247"/>
        <v>891756476</v>
      </c>
      <c r="AK193" s="894">
        <f t="shared" si="163"/>
        <v>0.36398223510204081</v>
      </c>
      <c r="AL193" s="1615"/>
      <c r="AM193" s="1604"/>
      <c r="AN193" s="151" t="s">
        <v>26</v>
      </c>
      <c r="AO193" s="1793" t="s">
        <v>895</v>
      </c>
      <c r="AP193" s="98"/>
      <c r="AQ193" s="98"/>
    </row>
    <row r="194" spans="1:43" ht="76.5" x14ac:dyDescent="0.25">
      <c r="A194" s="263" t="s">
        <v>640</v>
      </c>
      <c r="B194" s="358" t="s">
        <v>887</v>
      </c>
      <c r="C194" s="384">
        <v>1</v>
      </c>
      <c r="D194" s="317">
        <v>1</v>
      </c>
      <c r="E194" s="230">
        <v>0.66</v>
      </c>
      <c r="F194" s="600">
        <v>0.81</v>
      </c>
      <c r="G194" s="558"/>
      <c r="H194" s="598">
        <f t="shared" si="248"/>
        <v>0.66</v>
      </c>
      <c r="I194" s="1096">
        <f t="shared" si="249"/>
        <v>0.81</v>
      </c>
      <c r="J194" s="604" t="s">
        <v>1011</v>
      </c>
      <c r="K194" s="1088"/>
      <c r="L194" s="1583"/>
      <c r="M194" s="1584"/>
      <c r="N194" s="1085"/>
      <c r="O194" s="1090"/>
      <c r="P194" s="1090"/>
      <c r="Q194" s="1090"/>
      <c r="R194" s="1091"/>
      <c r="S194" s="1090"/>
      <c r="T194" s="229">
        <v>4</v>
      </c>
      <c r="U194" s="598">
        <f>SUM(E194:G194)</f>
        <v>1.4700000000000002</v>
      </c>
      <c r="V194" s="1684">
        <f t="shared" si="250"/>
        <v>0.36750000000000005</v>
      </c>
      <c r="W194" s="422">
        <v>0.08</v>
      </c>
      <c r="X194" s="1093">
        <v>0.08</v>
      </c>
      <c r="Y194" s="474">
        <v>60000000</v>
      </c>
      <c r="Z194" s="285">
        <v>55450000</v>
      </c>
      <c r="AA194" s="285">
        <v>58918176</v>
      </c>
      <c r="AB194" s="1095">
        <f t="shared" si="149"/>
        <v>0.9819696</v>
      </c>
      <c r="AC194" s="285">
        <v>37870506</v>
      </c>
      <c r="AD194" s="1104">
        <f t="shared" si="154"/>
        <v>0.63117509999999999</v>
      </c>
      <c r="AE194" s="1601">
        <f>+AA194-AC194</f>
        <v>21047670</v>
      </c>
      <c r="AF194" s="1558">
        <v>32850000</v>
      </c>
      <c r="AG194" s="285">
        <v>32850000</v>
      </c>
      <c r="AH194" s="1097">
        <f t="shared" si="155"/>
        <v>1</v>
      </c>
      <c r="AI194" s="1603">
        <v>240000000</v>
      </c>
      <c r="AJ194" s="1603">
        <f t="shared" si="247"/>
        <v>114368176</v>
      </c>
      <c r="AK194" s="894">
        <f t="shared" si="163"/>
        <v>0.47653406666666664</v>
      </c>
      <c r="AL194" s="1615"/>
      <c r="AM194" s="1604"/>
      <c r="AN194" s="151" t="s">
        <v>302</v>
      </c>
      <c r="AO194" s="1793" t="s">
        <v>1096</v>
      </c>
      <c r="AP194" s="98"/>
      <c r="AQ194" s="98"/>
    </row>
    <row r="195" spans="1:43" ht="102" x14ac:dyDescent="0.25">
      <c r="A195" s="263" t="s">
        <v>641</v>
      </c>
      <c r="B195" s="353" t="s">
        <v>765</v>
      </c>
      <c r="C195" s="385">
        <v>0</v>
      </c>
      <c r="D195" s="318">
        <v>1</v>
      </c>
      <c r="E195" s="232">
        <v>0</v>
      </c>
      <c r="F195" s="558">
        <v>1</v>
      </c>
      <c r="G195" s="558"/>
      <c r="H195" s="598" t="e">
        <f t="shared" si="248"/>
        <v>#DIV/0!</v>
      </c>
      <c r="I195" s="1096">
        <f t="shared" si="249"/>
        <v>1</v>
      </c>
      <c r="J195" s="604" t="s">
        <v>1012</v>
      </c>
      <c r="K195" s="1088"/>
      <c r="L195" s="1583"/>
      <c r="M195" s="1584"/>
      <c r="N195" s="1085"/>
      <c r="O195" s="1090"/>
      <c r="P195" s="1090"/>
      <c r="Q195" s="1090"/>
      <c r="R195" s="1091"/>
      <c r="S195" s="1090"/>
      <c r="T195" s="231">
        <v>1</v>
      </c>
      <c r="U195" s="599">
        <f>SUM(E195:G195)</f>
        <v>1</v>
      </c>
      <c r="V195" s="1684">
        <f t="shared" si="250"/>
        <v>1</v>
      </c>
      <c r="W195" s="422">
        <v>0.1</v>
      </c>
      <c r="X195" s="1093">
        <v>0.1</v>
      </c>
      <c r="Y195" s="474">
        <v>250000000</v>
      </c>
      <c r="Z195" s="285" t="s">
        <v>892</v>
      </c>
      <c r="AA195" s="285">
        <v>244443805</v>
      </c>
      <c r="AB195" s="1095">
        <f t="shared" si="149"/>
        <v>0.97777521999999994</v>
      </c>
      <c r="AC195" s="285">
        <v>231001294</v>
      </c>
      <c r="AD195" s="1104">
        <f t="shared" si="154"/>
        <v>0.92400517599999998</v>
      </c>
      <c r="AE195" s="1601">
        <f>+AA195-AC195</f>
        <v>13442511</v>
      </c>
      <c r="AF195" s="1558" t="s">
        <v>892</v>
      </c>
      <c r="AG195" s="285" t="s">
        <v>892</v>
      </c>
      <c r="AH195" s="1097" t="e">
        <f t="shared" si="155"/>
        <v>#DIV/0!</v>
      </c>
      <c r="AI195" s="1603">
        <v>250000000</v>
      </c>
      <c r="AJ195" s="1603">
        <f t="shared" si="247"/>
        <v>244443805</v>
      </c>
      <c r="AK195" s="1104">
        <f t="shared" si="163"/>
        <v>0.97777521999999994</v>
      </c>
      <c r="AL195" s="1615"/>
      <c r="AM195" s="1604"/>
      <c r="AN195" s="151" t="s">
        <v>302</v>
      </c>
      <c r="AO195" s="1793" t="s">
        <v>895</v>
      </c>
      <c r="AP195" s="98"/>
      <c r="AQ195" s="98"/>
    </row>
    <row r="196" spans="1:43" ht="51" x14ac:dyDescent="0.25">
      <c r="A196" s="263" t="s">
        <v>642</v>
      </c>
      <c r="B196" s="353" t="s">
        <v>815</v>
      </c>
      <c r="C196" s="384">
        <v>0</v>
      </c>
      <c r="D196" s="317">
        <v>0</v>
      </c>
      <c r="E196" s="230">
        <v>0</v>
      </c>
      <c r="F196" s="230">
        <v>0</v>
      </c>
      <c r="G196" s="558"/>
      <c r="H196" s="598" t="e">
        <f t="shared" si="248"/>
        <v>#DIV/0!</v>
      </c>
      <c r="I196" s="1096">
        <v>0</v>
      </c>
      <c r="J196" s="604"/>
      <c r="K196" s="1088"/>
      <c r="L196" s="1583"/>
      <c r="M196" s="1584"/>
      <c r="N196" s="1085"/>
      <c r="O196" s="1090"/>
      <c r="P196" s="1090"/>
      <c r="Q196" s="1090"/>
      <c r="R196" s="1091"/>
      <c r="S196" s="1090"/>
      <c r="T196" s="229">
        <v>1</v>
      </c>
      <c r="U196" s="598">
        <f>SUM(E196:G196)</f>
        <v>0</v>
      </c>
      <c r="V196" s="1684">
        <f t="shared" si="250"/>
        <v>0</v>
      </c>
      <c r="W196" s="422">
        <v>0.1</v>
      </c>
      <c r="X196" s="1093">
        <v>0</v>
      </c>
      <c r="Y196" s="475" t="s">
        <v>892</v>
      </c>
      <c r="Z196" s="285" t="s">
        <v>892</v>
      </c>
      <c r="AA196" s="285" t="s">
        <v>892</v>
      </c>
      <c r="AB196" s="1095" t="e">
        <f t="shared" si="149"/>
        <v>#DIV/0!</v>
      </c>
      <c r="AC196" s="285">
        <v>0</v>
      </c>
      <c r="AD196" s="935" t="e">
        <f t="shared" si="154"/>
        <v>#DIV/0!</v>
      </c>
      <c r="AE196" s="1611"/>
      <c r="AF196" s="1558" t="s">
        <v>892</v>
      </c>
      <c r="AG196" s="285" t="s">
        <v>892</v>
      </c>
      <c r="AH196" s="1097" t="e">
        <f t="shared" si="155"/>
        <v>#DIV/0!</v>
      </c>
      <c r="AI196" s="1603">
        <v>200000000</v>
      </c>
      <c r="AJ196" s="1603">
        <f t="shared" si="247"/>
        <v>0</v>
      </c>
      <c r="AK196" s="894">
        <f t="shared" si="163"/>
        <v>0</v>
      </c>
      <c r="AL196" s="1615"/>
      <c r="AM196" s="1604"/>
      <c r="AN196" s="151" t="s">
        <v>302</v>
      </c>
      <c r="AO196" s="1793" t="s">
        <v>895</v>
      </c>
      <c r="AP196" s="98"/>
      <c r="AQ196" s="98"/>
    </row>
    <row r="197" spans="1:43" ht="178.5" x14ac:dyDescent="0.25">
      <c r="A197" s="263" t="s">
        <v>643</v>
      </c>
      <c r="B197" s="353" t="s">
        <v>816</v>
      </c>
      <c r="C197" s="384">
        <v>1</v>
      </c>
      <c r="D197" s="317">
        <v>1</v>
      </c>
      <c r="E197" s="230">
        <v>1</v>
      </c>
      <c r="F197" s="600">
        <v>0.83499999999999996</v>
      </c>
      <c r="G197" s="558"/>
      <c r="H197" s="598">
        <f t="shared" si="248"/>
        <v>1</v>
      </c>
      <c r="I197" s="1692">
        <f t="shared" si="249"/>
        <v>0.83499999999999996</v>
      </c>
      <c r="J197" s="604" t="s">
        <v>1013</v>
      </c>
      <c r="K197" s="1088"/>
      <c r="L197" s="1583"/>
      <c r="M197" s="1584"/>
      <c r="N197" s="1085"/>
      <c r="O197" s="1090"/>
      <c r="P197" s="1090"/>
      <c r="Q197" s="1090"/>
      <c r="R197" s="1091"/>
      <c r="S197" s="1090"/>
      <c r="T197" s="229">
        <v>4</v>
      </c>
      <c r="U197" s="598">
        <f t="shared" ref="U197:U199" si="251">SUM(E197:G197)</f>
        <v>1.835</v>
      </c>
      <c r="V197" s="1684">
        <f t="shared" ref="V197:V199" si="252">IF(U197/T197&gt;=100%,100%,U197/T197)</f>
        <v>0.45874999999999999</v>
      </c>
      <c r="W197" s="422">
        <v>0.12</v>
      </c>
      <c r="X197" s="1093">
        <v>0.12</v>
      </c>
      <c r="Y197" s="478">
        <v>130000000</v>
      </c>
      <c r="Z197" s="285">
        <v>60000000</v>
      </c>
      <c r="AA197" s="285">
        <v>127981050</v>
      </c>
      <c r="AB197" s="1095">
        <f t="shared" si="149"/>
        <v>0.98446961538461542</v>
      </c>
      <c r="AC197" s="285">
        <v>119177761</v>
      </c>
      <c r="AD197" s="1104">
        <f t="shared" si="154"/>
        <v>0.91675200769230769</v>
      </c>
      <c r="AE197" s="1601">
        <f>+AA197-AC197</f>
        <v>8803289</v>
      </c>
      <c r="AF197" s="1558">
        <v>4300000</v>
      </c>
      <c r="AG197" s="285">
        <v>4300000</v>
      </c>
      <c r="AH197" s="1097">
        <f t="shared" si="155"/>
        <v>1</v>
      </c>
      <c r="AI197" s="1603">
        <v>435000000</v>
      </c>
      <c r="AJ197" s="1603">
        <f t="shared" si="247"/>
        <v>187981050</v>
      </c>
      <c r="AK197" s="894">
        <f t="shared" si="163"/>
        <v>0.43214034482758623</v>
      </c>
      <c r="AL197" s="1615"/>
      <c r="AM197" s="1604"/>
      <c r="AN197" s="151" t="s">
        <v>302</v>
      </c>
      <c r="AO197" s="1793" t="s">
        <v>895</v>
      </c>
      <c r="AP197" s="98"/>
      <c r="AQ197" s="98"/>
    </row>
    <row r="198" spans="1:43" ht="165.75" x14ac:dyDescent="0.25">
      <c r="A198" s="263" t="s">
        <v>644</v>
      </c>
      <c r="B198" s="358" t="s">
        <v>886</v>
      </c>
      <c r="C198" s="384">
        <v>1</v>
      </c>
      <c r="D198" s="317">
        <v>1</v>
      </c>
      <c r="E198" s="230">
        <v>1</v>
      </c>
      <c r="F198" s="600">
        <v>0.94379999999999997</v>
      </c>
      <c r="G198" s="558"/>
      <c r="H198" s="598">
        <f>IF((E198+G198)/C198&gt;=100%,100%,(E198+G198)/C198)</f>
        <v>1</v>
      </c>
      <c r="I198" s="1096">
        <f t="shared" si="249"/>
        <v>0.94379999999999997</v>
      </c>
      <c r="J198" s="604" t="s">
        <v>1014</v>
      </c>
      <c r="K198" s="1088"/>
      <c r="L198" s="1583"/>
      <c r="M198" s="1584"/>
      <c r="N198" s="1085"/>
      <c r="O198" s="1090"/>
      <c r="P198" s="1090"/>
      <c r="Q198" s="1090"/>
      <c r="R198" s="1091"/>
      <c r="S198" s="1090"/>
      <c r="T198" s="229">
        <v>4</v>
      </c>
      <c r="U198" s="598">
        <f t="shared" si="251"/>
        <v>1.9438</v>
      </c>
      <c r="V198" s="1684">
        <f t="shared" si="252"/>
        <v>0.48594999999999999</v>
      </c>
      <c r="W198" s="422">
        <v>0.1</v>
      </c>
      <c r="X198" s="1093">
        <v>0.16</v>
      </c>
      <c r="Y198" s="478">
        <v>120000000</v>
      </c>
      <c r="Z198" s="285">
        <v>56200000</v>
      </c>
      <c r="AA198" s="285">
        <v>118136352</v>
      </c>
      <c r="AB198" s="1095">
        <f t="shared" si="149"/>
        <v>0.98446959999999994</v>
      </c>
      <c r="AC198" s="285">
        <v>112404117</v>
      </c>
      <c r="AD198" s="1104">
        <f t="shared" si="154"/>
        <v>0.93670097500000005</v>
      </c>
      <c r="AE198" s="1601">
        <f>+AA198-AC198</f>
        <v>5732235</v>
      </c>
      <c r="AF198" s="1558">
        <v>13800000</v>
      </c>
      <c r="AG198" s="285">
        <v>13800000</v>
      </c>
      <c r="AH198" s="1097">
        <f t="shared" si="155"/>
        <v>1</v>
      </c>
      <c r="AI198" s="1603">
        <v>435000000</v>
      </c>
      <c r="AJ198" s="1603">
        <f t="shared" si="247"/>
        <v>174336352</v>
      </c>
      <c r="AK198" s="894">
        <f t="shared" si="163"/>
        <v>0.40077322298850576</v>
      </c>
      <c r="AL198" s="1615"/>
      <c r="AM198" s="1604"/>
      <c r="AN198" s="151" t="s">
        <v>302</v>
      </c>
      <c r="AO198" s="1793" t="s">
        <v>924</v>
      </c>
      <c r="AP198" s="98"/>
      <c r="AQ198" s="98"/>
    </row>
    <row r="199" spans="1:43" ht="128.25" thickBot="1" x14ac:dyDescent="0.3">
      <c r="A199" s="762" t="s">
        <v>645</v>
      </c>
      <c r="B199" s="763" t="s">
        <v>817</v>
      </c>
      <c r="C199" s="764">
        <v>0</v>
      </c>
      <c r="D199" s="765">
        <v>1</v>
      </c>
      <c r="E199" s="766">
        <v>0</v>
      </c>
      <c r="F199" s="908">
        <v>0</v>
      </c>
      <c r="G199" s="908"/>
      <c r="H199" s="894" t="e">
        <f t="shared" ref="H199" si="253">IF((E199+G199)/C199&gt;=100%,100%,(E199+G199)/C199)</f>
        <v>#DIV/0!</v>
      </c>
      <c r="I199" s="1104">
        <f t="shared" ref="I199" si="254">IF(F199/D199&gt;=100%,100%,F199/D199)</f>
        <v>0</v>
      </c>
      <c r="J199" s="604" t="s">
        <v>1099</v>
      </c>
      <c r="K199" s="1088"/>
      <c r="L199" s="1641"/>
      <c r="M199" s="1642"/>
      <c r="N199" s="1640"/>
      <c r="O199" s="1090"/>
      <c r="P199" s="1090"/>
      <c r="Q199" s="1090"/>
      <c r="R199" s="1643"/>
      <c r="S199" s="1090"/>
      <c r="T199" s="767">
        <v>1</v>
      </c>
      <c r="U199" s="935">
        <f t="shared" si="251"/>
        <v>0</v>
      </c>
      <c r="V199" s="1679">
        <f t="shared" si="252"/>
        <v>0</v>
      </c>
      <c r="W199" s="768">
        <v>0.1</v>
      </c>
      <c r="X199" s="1655">
        <v>0.1</v>
      </c>
      <c r="Y199" s="769">
        <v>200000000</v>
      </c>
      <c r="Z199" s="770" t="s">
        <v>892</v>
      </c>
      <c r="AA199" s="770">
        <v>178893831</v>
      </c>
      <c r="AB199" s="1610">
        <f t="shared" si="149"/>
        <v>0.89446915500000002</v>
      </c>
      <c r="AC199" s="770">
        <v>133335022</v>
      </c>
      <c r="AD199" s="1104">
        <f t="shared" si="154"/>
        <v>0.66667511000000002</v>
      </c>
      <c r="AE199" s="1611">
        <f>+AA199-AC199</f>
        <v>45558809</v>
      </c>
      <c r="AF199" s="1564" t="s">
        <v>892</v>
      </c>
      <c r="AG199" s="770" t="s">
        <v>892</v>
      </c>
      <c r="AH199" s="1612" t="e">
        <f t="shared" si="155"/>
        <v>#DIV/0!</v>
      </c>
      <c r="AI199" s="1614">
        <v>400000000</v>
      </c>
      <c r="AJ199" s="1614">
        <f t="shared" si="247"/>
        <v>178893831</v>
      </c>
      <c r="AK199" s="894">
        <f t="shared" si="163"/>
        <v>0.44723457750000001</v>
      </c>
      <c r="AL199" s="1615"/>
      <c r="AM199" s="1615"/>
      <c r="AN199" s="589" t="s">
        <v>302</v>
      </c>
      <c r="AO199" s="1788" t="s">
        <v>924</v>
      </c>
      <c r="AP199" s="594"/>
      <c r="AQ199" s="594"/>
    </row>
    <row r="200" spans="1:43" ht="13.5" thickBot="1" x14ac:dyDescent="0.3">
      <c r="A200" s="742" t="s">
        <v>492</v>
      </c>
      <c r="B200" s="743"/>
      <c r="C200" s="744"/>
      <c r="D200" s="745"/>
      <c r="E200" s="746"/>
      <c r="F200" s="744"/>
      <c r="G200" s="744"/>
      <c r="H200" s="747">
        <v>0</v>
      </c>
      <c r="I200" s="748">
        <f>+SUMPRODUCT(I201:I201,X201:X201)</f>
        <v>1</v>
      </c>
      <c r="J200" s="213"/>
      <c r="K200" s="211"/>
      <c r="L200" s="749"/>
      <c r="M200" s="750"/>
      <c r="N200" s="750"/>
      <c r="O200" s="751"/>
      <c r="P200" s="751"/>
      <c r="Q200" s="751"/>
      <c r="R200" s="752"/>
      <c r="S200" s="751"/>
      <c r="T200" s="774"/>
      <c r="U200" s="754"/>
      <c r="V200" s="755">
        <f>+SUMPRODUCT(V201:V201,W201:W201)</f>
        <v>1</v>
      </c>
      <c r="W200" s="747">
        <v>0.1</v>
      </c>
      <c r="X200" s="756">
        <v>0.1</v>
      </c>
      <c r="Y200" s="757">
        <f>SUM(Y201)</f>
        <v>250000000</v>
      </c>
      <c r="Z200" s="757">
        <f>SUM(Z201)</f>
        <v>0</v>
      </c>
      <c r="AA200" s="757">
        <f>SUM(AA201)</f>
        <v>244117398</v>
      </c>
      <c r="AB200" s="758">
        <f t="shared" ref="AB200:AB263" si="255">+AA200/Y200</f>
        <v>0.97646959200000005</v>
      </c>
      <c r="AC200" s="757">
        <f>SUM(AC201)</f>
        <v>221294554</v>
      </c>
      <c r="AD200" s="748">
        <f t="shared" si="154"/>
        <v>0.88517821600000002</v>
      </c>
      <c r="AE200" s="928">
        <f>SUM(AE201)</f>
        <v>22822844</v>
      </c>
      <c r="AF200" s="750">
        <f>SUM(AF201)</f>
        <v>0</v>
      </c>
      <c r="AG200" s="757">
        <f>SUM(AG201)</f>
        <v>0</v>
      </c>
      <c r="AH200" s="760" t="e">
        <f t="shared" si="155"/>
        <v>#DIV/0!</v>
      </c>
      <c r="AI200" s="757">
        <f t="shared" ref="AI200:AJ200" si="256">SUM(AI201)</f>
        <v>250000000</v>
      </c>
      <c r="AJ200" s="757">
        <f t="shared" si="256"/>
        <v>244117398</v>
      </c>
      <c r="AK200" s="748">
        <f t="shared" si="163"/>
        <v>0.97646959200000005</v>
      </c>
      <c r="AL200" s="761"/>
      <c r="AM200" s="761"/>
      <c r="AN200" s="210"/>
      <c r="AO200" s="928"/>
      <c r="AP200" s="213"/>
      <c r="AQ200" s="213"/>
    </row>
    <row r="201" spans="1:43" ht="90" thickBot="1" x14ac:dyDescent="0.3">
      <c r="A201" s="265" t="s">
        <v>646</v>
      </c>
      <c r="B201" s="775" t="s">
        <v>818</v>
      </c>
      <c r="C201" s="776">
        <v>0</v>
      </c>
      <c r="D201" s="777">
        <v>1</v>
      </c>
      <c r="E201" s="778">
        <v>0</v>
      </c>
      <c r="F201" s="779">
        <v>1</v>
      </c>
      <c r="G201" s="779"/>
      <c r="H201" s="780" t="e">
        <f t="shared" ref="H201" si="257">IF((E201+G201)/C201&gt;=100%,100%,(E201+G201)/C201)</f>
        <v>#DIV/0!</v>
      </c>
      <c r="I201" s="772">
        <f t="shared" ref="I201" si="258">IF(F201/D201&gt;=100%,100%,F201/D201)</f>
        <v>1</v>
      </c>
      <c r="J201" s="586" t="s">
        <v>1015</v>
      </c>
      <c r="K201" s="563"/>
      <c r="L201" s="781"/>
      <c r="M201" s="782"/>
      <c r="N201" s="783"/>
      <c r="O201" s="733"/>
      <c r="P201" s="733"/>
      <c r="Q201" s="733"/>
      <c r="R201" s="784"/>
      <c r="S201" s="733"/>
      <c r="T201" s="767">
        <v>1</v>
      </c>
      <c r="U201" s="739">
        <f>SUM(E201:G201)</f>
        <v>1</v>
      </c>
      <c r="V201" s="575">
        <f t="shared" ref="V201" si="259">IF(U201/T201&gt;=100%,100%,U201/T201)</f>
        <v>1</v>
      </c>
      <c r="W201" s="785">
        <v>1</v>
      </c>
      <c r="X201" s="786">
        <v>1</v>
      </c>
      <c r="Y201" s="787">
        <v>250000000</v>
      </c>
      <c r="Z201" s="770" t="s">
        <v>892</v>
      </c>
      <c r="AA201" s="787">
        <v>244117398</v>
      </c>
      <c r="AB201" s="788">
        <f t="shared" si="255"/>
        <v>0.97646959200000005</v>
      </c>
      <c r="AC201" s="787">
        <v>221294554</v>
      </c>
      <c r="AD201" s="772">
        <f t="shared" ref="AD201:AD264" si="260">+AC201/Y201</f>
        <v>0.88517821600000002</v>
      </c>
      <c r="AE201" s="789">
        <f>+AA201-AC201</f>
        <v>22822844</v>
      </c>
      <c r="AF201" s="1564" t="s">
        <v>892</v>
      </c>
      <c r="AG201" s="770" t="s">
        <v>892</v>
      </c>
      <c r="AH201" s="581" t="e">
        <f t="shared" ref="AH201:AH264" si="261">+AG201/AF201</f>
        <v>#DIV/0!</v>
      </c>
      <c r="AI201" s="790">
        <v>250000000</v>
      </c>
      <c r="AJ201" s="790">
        <f t="shared" si="247"/>
        <v>244117398</v>
      </c>
      <c r="AK201" s="772">
        <f t="shared" ref="AK201:AK264" si="262">+AJ201/AI201</f>
        <v>0.97646959200000005</v>
      </c>
      <c r="AL201" s="741"/>
      <c r="AM201" s="741"/>
      <c r="AN201" s="791" t="s">
        <v>302</v>
      </c>
      <c r="AO201" s="1786" t="s">
        <v>895</v>
      </c>
      <c r="AP201" s="586"/>
      <c r="AQ201" s="586"/>
    </row>
    <row r="202" spans="1:43" s="554" customFormat="1" ht="26.25" thickBot="1" x14ac:dyDescent="0.3">
      <c r="A202" s="628" t="s">
        <v>441</v>
      </c>
      <c r="B202" s="629"/>
      <c r="C202" s="630"/>
      <c r="D202" s="631"/>
      <c r="E202" s="632"/>
      <c r="F202" s="630"/>
      <c r="G202" s="630"/>
      <c r="H202" s="633">
        <f>+(H203*W203)</f>
        <v>1</v>
      </c>
      <c r="I202" s="644">
        <f>+(I203*X203)</f>
        <v>1</v>
      </c>
      <c r="J202" s="634"/>
      <c r="K202" s="635"/>
      <c r="L202" s="636"/>
      <c r="M202" s="637"/>
      <c r="N202" s="637"/>
      <c r="O202" s="638"/>
      <c r="P202" s="638"/>
      <c r="Q202" s="638"/>
      <c r="R202" s="639"/>
      <c r="S202" s="638"/>
      <c r="T202" s="640"/>
      <c r="U202" s="641"/>
      <c r="V202" s="680">
        <f>+(V203*W203)</f>
        <v>0.4</v>
      </c>
      <c r="W202" s="646">
        <v>0.15</v>
      </c>
      <c r="X202" s="657">
        <v>0.18</v>
      </c>
      <c r="Y202" s="642">
        <f>+Y203</f>
        <v>200000000</v>
      </c>
      <c r="Z202" s="642">
        <f>+Z203</f>
        <v>176700000</v>
      </c>
      <c r="AA202" s="642">
        <f>+AA203</f>
        <v>181800319</v>
      </c>
      <c r="AB202" s="643">
        <f t="shared" si="255"/>
        <v>0.909001595</v>
      </c>
      <c r="AC202" s="642">
        <f>+AC203</f>
        <v>153323642</v>
      </c>
      <c r="AD202" s="644">
        <f t="shared" si="260"/>
        <v>0.76661820999999997</v>
      </c>
      <c r="AE202" s="629">
        <f>+AE203</f>
        <v>28476677</v>
      </c>
      <c r="AF202" s="637">
        <f>+AF203</f>
        <v>79500000</v>
      </c>
      <c r="AG202" s="642">
        <f>+AG203</f>
        <v>79500000</v>
      </c>
      <c r="AH202" s="645">
        <f t="shared" si="261"/>
        <v>1</v>
      </c>
      <c r="AI202" s="642">
        <f t="shared" ref="AI202:AJ202" si="263">+AI203</f>
        <v>2500000000</v>
      </c>
      <c r="AJ202" s="642">
        <f t="shared" si="263"/>
        <v>358500319</v>
      </c>
      <c r="AK202" s="646">
        <f t="shared" si="163"/>
        <v>0.14340012760000001</v>
      </c>
      <c r="AL202" s="636"/>
      <c r="AM202" s="636" t="s">
        <v>297</v>
      </c>
      <c r="AN202" s="637"/>
      <c r="AO202" s="629"/>
      <c r="AP202" s="634"/>
      <c r="AQ202" s="634"/>
    </row>
    <row r="203" spans="1:43" ht="13.5" thickBot="1" x14ac:dyDescent="0.3">
      <c r="A203" s="742" t="s">
        <v>493</v>
      </c>
      <c r="B203" s="743"/>
      <c r="C203" s="744"/>
      <c r="D203" s="745"/>
      <c r="E203" s="746"/>
      <c r="F203" s="744"/>
      <c r="G203" s="744"/>
      <c r="H203" s="747">
        <f>+(H206*50%)+(H207*50%)</f>
        <v>1</v>
      </c>
      <c r="I203" s="748">
        <f>+SUMPRODUCT(I204:I207,X204:X207)</f>
        <v>1</v>
      </c>
      <c r="J203" s="213"/>
      <c r="K203" s="211"/>
      <c r="L203" s="749"/>
      <c r="M203" s="750"/>
      <c r="N203" s="750"/>
      <c r="O203" s="751"/>
      <c r="P203" s="751"/>
      <c r="Q203" s="751"/>
      <c r="R203" s="752"/>
      <c r="S203" s="751"/>
      <c r="T203" s="753"/>
      <c r="U203" s="754"/>
      <c r="V203" s="755">
        <f>+SUMPRODUCT(V204:V207,W204:W207)</f>
        <v>0.4</v>
      </c>
      <c r="W203" s="747">
        <v>1</v>
      </c>
      <c r="X203" s="756">
        <v>1</v>
      </c>
      <c r="Y203" s="757">
        <f>SUM(Y204:Y207)</f>
        <v>200000000</v>
      </c>
      <c r="Z203" s="757">
        <f>SUM(Z204:Z207)</f>
        <v>176700000</v>
      </c>
      <c r="AA203" s="757">
        <f>SUM(AA204:AA207)</f>
        <v>181800319</v>
      </c>
      <c r="AB203" s="758">
        <f t="shared" si="255"/>
        <v>0.909001595</v>
      </c>
      <c r="AC203" s="757">
        <f>SUM(AC204:AC207)</f>
        <v>153323642</v>
      </c>
      <c r="AD203" s="748">
        <f t="shared" si="260"/>
        <v>0.76661820999999997</v>
      </c>
      <c r="AE203" s="928">
        <f>SUM(AE204:AE207)</f>
        <v>28476677</v>
      </c>
      <c r="AF203" s="750">
        <f>SUM(AF204:AF207)</f>
        <v>79500000</v>
      </c>
      <c r="AG203" s="757">
        <f>SUM(AG204:AG207)</f>
        <v>79500000</v>
      </c>
      <c r="AH203" s="760">
        <f t="shared" si="261"/>
        <v>1</v>
      </c>
      <c r="AI203" s="757">
        <f t="shared" ref="AI203:AJ203" si="264">SUM(AI204:AI207)</f>
        <v>2500000000</v>
      </c>
      <c r="AJ203" s="757">
        <f t="shared" si="264"/>
        <v>358500319</v>
      </c>
      <c r="AK203" s="747">
        <f t="shared" si="262"/>
        <v>0.14340012760000001</v>
      </c>
      <c r="AL203" s="761"/>
      <c r="AM203" s="761"/>
      <c r="AN203" s="210"/>
      <c r="AO203" s="928"/>
      <c r="AP203" s="213"/>
      <c r="AQ203" s="213"/>
    </row>
    <row r="204" spans="1:43" ht="25.5" x14ac:dyDescent="0.25">
      <c r="A204" s="264" t="s">
        <v>647</v>
      </c>
      <c r="B204" s="355" t="s">
        <v>819</v>
      </c>
      <c r="C204" s="380">
        <v>0</v>
      </c>
      <c r="D204" s="313">
        <v>0</v>
      </c>
      <c r="E204" s="727">
        <v>0</v>
      </c>
      <c r="F204" s="728">
        <v>0</v>
      </c>
      <c r="G204" s="728"/>
      <c r="H204" s="729" t="e">
        <f t="shared" ref="H204" si="265">IF((E204+G204)/C204&gt;=100%,100%,(E204+G204)/C204)</f>
        <v>#DIV/0!</v>
      </c>
      <c r="I204" s="730">
        <v>0</v>
      </c>
      <c r="J204" s="595"/>
      <c r="K204" s="563"/>
      <c r="L204" s="731"/>
      <c r="M204" s="732"/>
      <c r="N204" s="585"/>
      <c r="O204" s="733"/>
      <c r="P204" s="733"/>
      <c r="Q204" s="733"/>
      <c r="R204" s="734"/>
      <c r="S204" s="733"/>
      <c r="T204" s="735">
        <v>4</v>
      </c>
      <c r="U204" s="736">
        <f>SUM(E204:G204)</f>
        <v>0</v>
      </c>
      <c r="V204" s="170">
        <f t="shared" ref="V204" si="266">IF(U204/T204&gt;=100%,100%,U204/T204)</f>
        <v>0</v>
      </c>
      <c r="W204" s="414">
        <v>0.3</v>
      </c>
      <c r="X204" s="737">
        <v>0</v>
      </c>
      <c r="Y204" s="476" t="s">
        <v>892</v>
      </c>
      <c r="Z204" s="286" t="s">
        <v>892</v>
      </c>
      <c r="AA204" s="476" t="s">
        <v>892</v>
      </c>
      <c r="AB204" s="738" t="e">
        <f t="shared" si="255"/>
        <v>#DIV/0!</v>
      </c>
      <c r="AC204" s="476" t="s">
        <v>892</v>
      </c>
      <c r="AD204" s="739" t="e">
        <f t="shared" si="260"/>
        <v>#DIV/0!</v>
      </c>
      <c r="AE204" s="789"/>
      <c r="AF204" s="1561" t="s">
        <v>892</v>
      </c>
      <c r="AG204" s="286" t="s">
        <v>892</v>
      </c>
      <c r="AH204" s="506" t="e">
        <f t="shared" si="261"/>
        <v>#DIV/0!</v>
      </c>
      <c r="AI204" s="740">
        <v>650000000</v>
      </c>
      <c r="AJ204" s="1599">
        <f t="shared" ref="AJ204:AJ207" si="267">+SUM(Z204:AA204)</f>
        <v>0</v>
      </c>
      <c r="AK204" s="1652">
        <f t="shared" si="262"/>
        <v>0</v>
      </c>
      <c r="AL204" s="1671"/>
      <c r="AM204" s="1600"/>
      <c r="AN204" s="591" t="s">
        <v>302</v>
      </c>
      <c r="AO204" s="1901" t="s">
        <v>910</v>
      </c>
      <c r="AP204" s="595"/>
      <c r="AQ204" s="595"/>
    </row>
    <row r="205" spans="1:43" ht="38.25" x14ac:dyDescent="0.25">
      <c r="A205" s="264" t="s">
        <v>648</v>
      </c>
      <c r="B205" s="355" t="s">
        <v>820</v>
      </c>
      <c r="C205" s="380">
        <v>0</v>
      </c>
      <c r="D205" s="313">
        <v>0</v>
      </c>
      <c r="E205" s="182">
        <v>0</v>
      </c>
      <c r="F205" s="147">
        <v>0</v>
      </c>
      <c r="G205" s="147"/>
      <c r="H205" s="167" t="e">
        <f t="shared" ref="H205:H207" si="268">IF((E205+G205)/C205&gt;=100%,100%,(E205+G205)/C205)</f>
        <v>#DIV/0!</v>
      </c>
      <c r="I205" s="520">
        <v>0</v>
      </c>
      <c r="J205" s="594"/>
      <c r="K205" s="569"/>
      <c r="L205" s="102"/>
      <c r="M205" s="104"/>
      <c r="N205" s="146"/>
      <c r="O205" s="173"/>
      <c r="P205" s="173"/>
      <c r="Q205" s="173"/>
      <c r="R205" s="150"/>
      <c r="S205" s="173"/>
      <c r="T205" s="194">
        <v>23</v>
      </c>
      <c r="U205" s="195">
        <f t="shared" ref="U205:U207" si="269">SUM(E205:G205)</f>
        <v>0</v>
      </c>
      <c r="V205" s="170">
        <f t="shared" ref="V205:V207" si="270">IF(U205/T205&gt;=100%,100%,U205/T205)</f>
        <v>0</v>
      </c>
      <c r="W205" s="414">
        <v>0.3</v>
      </c>
      <c r="X205" s="395">
        <v>0</v>
      </c>
      <c r="Y205" s="476" t="s">
        <v>892</v>
      </c>
      <c r="Z205" s="286" t="s">
        <v>892</v>
      </c>
      <c r="AA205" s="476" t="s">
        <v>892</v>
      </c>
      <c r="AB205" s="208" t="e">
        <f t="shared" si="255"/>
        <v>#DIV/0!</v>
      </c>
      <c r="AC205" s="476" t="s">
        <v>892</v>
      </c>
      <c r="AD205" s="555" t="e">
        <f t="shared" si="260"/>
        <v>#DIV/0!</v>
      </c>
      <c r="AE205" s="163"/>
      <c r="AF205" s="1561" t="s">
        <v>892</v>
      </c>
      <c r="AG205" s="286" t="s">
        <v>892</v>
      </c>
      <c r="AH205" s="506" t="e">
        <f t="shared" si="261"/>
        <v>#DIV/0!</v>
      </c>
      <c r="AI205" s="198">
        <v>950000000</v>
      </c>
      <c r="AJ205" s="1603">
        <f t="shared" si="267"/>
        <v>0</v>
      </c>
      <c r="AK205" s="894">
        <f t="shared" si="262"/>
        <v>0</v>
      </c>
      <c r="AL205" s="1615"/>
      <c r="AM205" s="1604"/>
      <c r="AN205" s="151" t="s">
        <v>302</v>
      </c>
      <c r="AO205" s="1898"/>
      <c r="AP205" s="98"/>
      <c r="AQ205" s="98"/>
    </row>
    <row r="206" spans="1:43" ht="63.75" x14ac:dyDescent="0.25">
      <c r="A206" s="264" t="s">
        <v>649</v>
      </c>
      <c r="B206" s="355" t="s">
        <v>821</v>
      </c>
      <c r="C206" s="381">
        <v>1</v>
      </c>
      <c r="D206" s="314">
        <v>1</v>
      </c>
      <c r="E206" s="225">
        <v>1</v>
      </c>
      <c r="F206" s="169">
        <v>1</v>
      </c>
      <c r="G206" s="147"/>
      <c r="H206" s="167">
        <f t="shared" si="268"/>
        <v>1</v>
      </c>
      <c r="I206" s="520">
        <f t="shared" ref="I206:I207" si="271">IF(F206/D206&gt;=100%,100%,F206/D206)</f>
        <v>1</v>
      </c>
      <c r="J206" s="594" t="s">
        <v>1016</v>
      </c>
      <c r="K206" s="569"/>
      <c r="L206" s="102"/>
      <c r="M206" s="104"/>
      <c r="N206" s="146"/>
      <c r="O206" s="173"/>
      <c r="P206" s="173"/>
      <c r="Q206" s="173"/>
      <c r="R206" s="150"/>
      <c r="S206" s="173"/>
      <c r="T206" s="194">
        <v>1</v>
      </c>
      <c r="U206" s="195">
        <f t="shared" si="269"/>
        <v>2</v>
      </c>
      <c r="V206" s="170">
        <f t="shared" si="270"/>
        <v>1</v>
      </c>
      <c r="W206" s="414">
        <v>0.2</v>
      </c>
      <c r="X206" s="395">
        <v>0.5</v>
      </c>
      <c r="Y206" s="472">
        <v>100000000</v>
      </c>
      <c r="Z206" s="283">
        <v>79700000</v>
      </c>
      <c r="AA206" s="476">
        <v>83453359</v>
      </c>
      <c r="AB206" s="208">
        <f t="shared" si="255"/>
        <v>0.83453359000000005</v>
      </c>
      <c r="AC206" s="476">
        <v>62161821</v>
      </c>
      <c r="AD206" s="557">
        <f t="shared" si="260"/>
        <v>0.62161820999999995</v>
      </c>
      <c r="AE206" s="154">
        <f>+AA206-AC206</f>
        <v>21291538</v>
      </c>
      <c r="AF206" s="1562">
        <v>28900000</v>
      </c>
      <c r="AG206" s="283">
        <v>28900000</v>
      </c>
      <c r="AH206" s="506">
        <f t="shared" si="261"/>
        <v>1</v>
      </c>
      <c r="AI206" s="198">
        <v>400000000</v>
      </c>
      <c r="AJ206" s="1603">
        <f t="shared" si="267"/>
        <v>163153359</v>
      </c>
      <c r="AK206" s="894">
        <f t="shared" si="262"/>
        <v>0.40788339750000002</v>
      </c>
      <c r="AL206" s="1615"/>
      <c r="AM206" s="1604"/>
      <c r="AN206" s="151" t="s">
        <v>9</v>
      </c>
      <c r="AO206" s="1791" t="s">
        <v>910</v>
      </c>
      <c r="AP206" s="98"/>
      <c r="AQ206" s="98"/>
    </row>
    <row r="207" spans="1:43" ht="77.25" thickBot="1" x14ac:dyDescent="0.3">
      <c r="A207" s="707" t="s">
        <v>650</v>
      </c>
      <c r="B207" s="708" t="s">
        <v>822</v>
      </c>
      <c r="C207" s="709">
        <v>23</v>
      </c>
      <c r="D207" s="710">
        <v>23</v>
      </c>
      <c r="E207" s="711">
        <v>23</v>
      </c>
      <c r="F207" s="573">
        <v>23</v>
      </c>
      <c r="G207" s="573"/>
      <c r="H207" s="561">
        <f t="shared" si="268"/>
        <v>1</v>
      </c>
      <c r="I207" s="557">
        <f t="shared" si="271"/>
        <v>1</v>
      </c>
      <c r="J207" s="594" t="s">
        <v>1017</v>
      </c>
      <c r="K207" s="569"/>
      <c r="L207" s="177"/>
      <c r="M207" s="178"/>
      <c r="N207" s="568"/>
      <c r="O207" s="173"/>
      <c r="P207" s="173"/>
      <c r="Q207" s="173"/>
      <c r="R207" s="574"/>
      <c r="S207" s="173"/>
      <c r="T207" s="194">
        <v>23</v>
      </c>
      <c r="U207" s="555">
        <f t="shared" si="269"/>
        <v>46</v>
      </c>
      <c r="V207" s="575">
        <f t="shared" si="270"/>
        <v>1</v>
      </c>
      <c r="W207" s="415">
        <v>0.2</v>
      </c>
      <c r="X207" s="398">
        <v>0.5</v>
      </c>
      <c r="Y207" s="712">
        <v>100000000</v>
      </c>
      <c r="Z207" s="713">
        <v>97000000</v>
      </c>
      <c r="AA207" s="714">
        <v>98346960</v>
      </c>
      <c r="AB207" s="580">
        <f t="shared" si="255"/>
        <v>0.98346960000000005</v>
      </c>
      <c r="AC207" s="714">
        <v>91161821</v>
      </c>
      <c r="AD207" s="557">
        <f t="shared" si="260"/>
        <v>0.91161820999999998</v>
      </c>
      <c r="AE207" s="163">
        <f>+AA207-AC207</f>
        <v>7185139</v>
      </c>
      <c r="AF207" s="1565">
        <v>50600000</v>
      </c>
      <c r="AG207" s="713">
        <v>50600000</v>
      </c>
      <c r="AH207" s="581">
        <f t="shared" si="261"/>
        <v>1</v>
      </c>
      <c r="AI207" s="582">
        <v>500000000</v>
      </c>
      <c r="AJ207" s="1614">
        <f t="shared" si="267"/>
        <v>195346960</v>
      </c>
      <c r="AK207" s="894">
        <f t="shared" si="262"/>
        <v>0.39069391999999997</v>
      </c>
      <c r="AL207" s="1615"/>
      <c r="AM207" s="1615"/>
      <c r="AN207" s="589" t="s">
        <v>302</v>
      </c>
      <c r="AO207" s="1792" t="s">
        <v>910</v>
      </c>
      <c r="AP207" s="594"/>
      <c r="AQ207" s="594"/>
    </row>
    <row r="208" spans="1:43" s="554" customFormat="1" ht="51.75" thickBot="1" x14ac:dyDescent="0.3">
      <c r="A208" s="628" t="s">
        <v>442</v>
      </c>
      <c r="B208" s="629"/>
      <c r="C208" s="630"/>
      <c r="D208" s="631"/>
      <c r="E208" s="632"/>
      <c r="F208" s="630"/>
      <c r="G208" s="630"/>
      <c r="H208" s="633">
        <f>+(H209*0%)</f>
        <v>0</v>
      </c>
      <c r="I208" s="644">
        <f>+(I209*X209)</f>
        <v>0</v>
      </c>
      <c r="J208" s="634"/>
      <c r="K208" s="635"/>
      <c r="L208" s="636"/>
      <c r="M208" s="637"/>
      <c r="N208" s="637"/>
      <c r="O208" s="638"/>
      <c r="P208" s="638"/>
      <c r="Q208" s="638"/>
      <c r="R208" s="639"/>
      <c r="S208" s="638"/>
      <c r="T208" s="640"/>
      <c r="U208" s="641"/>
      <c r="V208" s="680">
        <f>+(V209*W209)</f>
        <v>0</v>
      </c>
      <c r="W208" s="646">
        <v>0.15</v>
      </c>
      <c r="X208" s="657">
        <v>0</v>
      </c>
      <c r="Y208" s="642">
        <f>+Y209</f>
        <v>0</v>
      </c>
      <c r="Z208" s="642">
        <f>+Z209</f>
        <v>0</v>
      </c>
      <c r="AA208" s="642">
        <f>+AA209</f>
        <v>0</v>
      </c>
      <c r="AB208" s="643" t="e">
        <f t="shared" si="255"/>
        <v>#DIV/0!</v>
      </c>
      <c r="AC208" s="642">
        <f>+AC209</f>
        <v>0</v>
      </c>
      <c r="AD208" s="641" t="e">
        <f t="shared" si="260"/>
        <v>#DIV/0!</v>
      </c>
      <c r="AE208" s="629">
        <f>+AE209</f>
        <v>0</v>
      </c>
      <c r="AF208" s="637">
        <f>+AF209</f>
        <v>0</v>
      </c>
      <c r="AG208" s="642">
        <f>+AG209</f>
        <v>0</v>
      </c>
      <c r="AH208" s="645" t="e">
        <f t="shared" si="261"/>
        <v>#DIV/0!</v>
      </c>
      <c r="AI208" s="642">
        <f t="shared" ref="AI208:AJ208" si="272">+AI209</f>
        <v>3500000000</v>
      </c>
      <c r="AJ208" s="642">
        <f t="shared" si="272"/>
        <v>0</v>
      </c>
      <c r="AK208" s="646">
        <f t="shared" si="262"/>
        <v>0</v>
      </c>
      <c r="AL208" s="636"/>
      <c r="AM208" s="636" t="s">
        <v>298</v>
      </c>
      <c r="AN208" s="637"/>
      <c r="AO208" s="629"/>
      <c r="AP208" s="634"/>
      <c r="AQ208" s="634"/>
    </row>
    <row r="209" spans="1:43" x14ac:dyDescent="0.25">
      <c r="A209" s="252" t="s">
        <v>494</v>
      </c>
      <c r="B209" s="344"/>
      <c r="C209" s="611"/>
      <c r="D209" s="612"/>
      <c r="E209" s="613"/>
      <c r="F209" s="611"/>
      <c r="G209" s="611"/>
      <c r="H209" s="220">
        <v>0</v>
      </c>
      <c r="I209" s="622">
        <f>+SUMPRODUCT(I210:I210,X210:X210)</f>
        <v>0</v>
      </c>
      <c r="J209" s="614"/>
      <c r="K209" s="615"/>
      <c r="L209" s="196"/>
      <c r="M209" s="590"/>
      <c r="N209" s="590"/>
      <c r="O209" s="616"/>
      <c r="P209" s="616"/>
      <c r="Q209" s="616"/>
      <c r="R209" s="617"/>
      <c r="S209" s="616"/>
      <c r="T209" s="618"/>
      <c r="U209" s="202"/>
      <c r="V209" s="656">
        <f>+SUMPRODUCT(V210:V210,W210:W210)</f>
        <v>0</v>
      </c>
      <c r="W209" s="220">
        <v>1</v>
      </c>
      <c r="X209" s="619">
        <v>0</v>
      </c>
      <c r="Y209" s="620">
        <f>SUM(Y210)</f>
        <v>0</v>
      </c>
      <c r="Z209" s="620">
        <f>SUM(Z210)</f>
        <v>0</v>
      </c>
      <c r="AA209" s="620">
        <f>SUM(AA210)</f>
        <v>0</v>
      </c>
      <c r="AB209" s="621" t="e">
        <f t="shared" si="255"/>
        <v>#DIV/0!</v>
      </c>
      <c r="AC209" s="620">
        <f>SUM(AC210)</f>
        <v>0</v>
      </c>
      <c r="AD209" s="715" t="e">
        <f t="shared" si="260"/>
        <v>#DIV/0!</v>
      </c>
      <c r="AE209" s="1518">
        <f>SUM(AE210)</f>
        <v>0</v>
      </c>
      <c r="AF209" s="590">
        <f>SUM(AF210)</f>
        <v>0</v>
      </c>
      <c r="AG209" s="620">
        <f>SUM(AG210)</f>
        <v>0</v>
      </c>
      <c r="AH209" s="505" t="e">
        <f t="shared" si="261"/>
        <v>#DIV/0!</v>
      </c>
      <c r="AI209" s="623">
        <f t="shared" ref="AI209:AJ209" si="273">SUM(AI210)</f>
        <v>3500000000</v>
      </c>
      <c r="AJ209" s="623">
        <f t="shared" si="273"/>
        <v>0</v>
      </c>
      <c r="AK209" s="1696">
        <f t="shared" si="262"/>
        <v>0</v>
      </c>
      <c r="AL209" s="624"/>
      <c r="AM209" s="625"/>
      <c r="AN209" s="626"/>
      <c r="AO209" s="1518"/>
      <c r="AP209" s="627"/>
      <c r="AQ209" s="627"/>
    </row>
    <row r="210" spans="1:43" ht="64.5" thickBot="1" x14ac:dyDescent="0.3">
      <c r="A210" s="762" t="s">
        <v>651</v>
      </c>
      <c r="B210" s="763" t="s">
        <v>823</v>
      </c>
      <c r="C210" s="799">
        <v>0</v>
      </c>
      <c r="D210" s="800">
        <v>0</v>
      </c>
      <c r="E210" s="668">
        <v>0</v>
      </c>
      <c r="F210" s="573">
        <v>0</v>
      </c>
      <c r="G210" s="573"/>
      <c r="H210" s="561" t="e">
        <f t="shared" ref="H210" si="274">IF((E210+G210)/C210&gt;=100%,100%,(E210+G210)/C210)</f>
        <v>#DIV/0!</v>
      </c>
      <c r="I210" s="557">
        <v>0</v>
      </c>
      <c r="J210" s="594"/>
      <c r="K210" s="569"/>
      <c r="L210" s="177"/>
      <c r="M210" s="178"/>
      <c r="N210" s="568"/>
      <c r="O210" s="173"/>
      <c r="P210" s="173"/>
      <c r="Q210" s="173"/>
      <c r="R210" s="574"/>
      <c r="S210" s="173"/>
      <c r="T210" s="194">
        <v>2</v>
      </c>
      <c r="U210" s="555">
        <f>SUM(E210:G210)</f>
        <v>0</v>
      </c>
      <c r="V210" s="575">
        <f t="shared" ref="V210" si="275">IF(U210/T210&gt;=100%,100%,U210/T210)</f>
        <v>0</v>
      </c>
      <c r="W210" s="670">
        <v>1</v>
      </c>
      <c r="X210" s="398">
        <v>0</v>
      </c>
      <c r="Y210" s="809">
        <v>0</v>
      </c>
      <c r="Z210" s="808">
        <v>0</v>
      </c>
      <c r="AA210" s="809">
        <v>0</v>
      </c>
      <c r="AB210" s="580" t="e">
        <f t="shared" si="255"/>
        <v>#DIV/0!</v>
      </c>
      <c r="AC210" s="809">
        <v>0</v>
      </c>
      <c r="AD210" s="555" t="e">
        <f t="shared" si="260"/>
        <v>#DIV/0!</v>
      </c>
      <c r="AE210" s="163"/>
      <c r="AF210" s="1537">
        <v>0</v>
      </c>
      <c r="AG210" s="808">
        <v>0</v>
      </c>
      <c r="AH210" s="581" t="e">
        <f t="shared" si="261"/>
        <v>#DIV/0!</v>
      </c>
      <c r="AI210" s="582">
        <v>3500000000</v>
      </c>
      <c r="AJ210" s="1614">
        <f t="shared" ref="AJ210" si="276">+SUM(Z210:AA210)</f>
        <v>0</v>
      </c>
      <c r="AK210" s="894">
        <f t="shared" si="262"/>
        <v>0</v>
      </c>
      <c r="AL210" s="1615"/>
      <c r="AM210" s="162"/>
      <c r="AN210" s="589" t="s">
        <v>302</v>
      </c>
      <c r="AO210" s="1788" t="s">
        <v>910</v>
      </c>
      <c r="AP210" s="594"/>
      <c r="AQ210" s="594"/>
    </row>
    <row r="211" spans="1:43" ht="18.75" thickBot="1" x14ac:dyDescent="0.3">
      <c r="A211" s="1045" t="s">
        <v>425</v>
      </c>
      <c r="B211" s="1046"/>
      <c r="C211" s="1071"/>
      <c r="D211" s="1072"/>
      <c r="E211" s="1073"/>
      <c r="F211" s="1071"/>
      <c r="G211" s="1071"/>
      <c r="H211" s="1051">
        <f>+(H212*W212)+(H218*W218)+(H229*W229)+(H239*W239)+(H245*W245)+(H250*W250)+(H260*W260)+(H270*W270)+(H278*W278)+(H286*W286)+(H293*W293)</f>
        <v>0.95050000000000001</v>
      </c>
      <c r="I211" s="1051">
        <f>+(I212*X212)+(I218*X218)+(I229*X229)+(I239*X239)+(I245*X245)+(I250*X250)+(I260*X260)+(I270*X270)+(I278*X278)+(I286*X286)+(I293*X293)</f>
        <v>0.81236699165639603</v>
      </c>
      <c r="J211" s="1077"/>
      <c r="K211" s="1078"/>
      <c r="L211" s="1054"/>
      <c r="M211" s="1052"/>
      <c r="N211" s="1052"/>
      <c r="O211" s="1079"/>
      <c r="P211" s="1079"/>
      <c r="Q211" s="1079"/>
      <c r="R211" s="1080"/>
      <c r="S211" s="1079"/>
      <c r="T211" s="1081"/>
      <c r="U211" s="1082"/>
      <c r="V211" s="1059">
        <f>+(V212*W212)+(V218*W218)+(V229*W229)+(V239*W239)+(V245*W245)+(V250*W250)+(V260*W260)+(V270*W270)+(V278*W278)+(V286*W286)+(V293*W293)</f>
        <v>0.52722370631028614</v>
      </c>
      <c r="W211" s="1066">
        <v>0.15</v>
      </c>
      <c r="X211" s="1075">
        <v>0.15</v>
      </c>
      <c r="Y211" s="1062">
        <f>+Y212+Y218+Y229+Y239+Y245+Y250+Y260+Y270+Y278+Y286</f>
        <v>6394000000</v>
      </c>
      <c r="Z211" s="1063">
        <f>+Z212+Z218+Z229+Z239+Z245+Z250+Z260+Z270+Z278+Z286</f>
        <v>3756011938.75</v>
      </c>
      <c r="AA211" s="1063">
        <f>+AA212+AA218+AA229+AA239+AA245+AA250+AA260+AA270+AA278+AA286</f>
        <v>5306096496.5799999</v>
      </c>
      <c r="AB211" s="1056">
        <f t="shared" si="255"/>
        <v>0.82985556718486075</v>
      </c>
      <c r="AC211" s="1063">
        <f>+AC212+AC218+AC229+AC239+AC245+AC250+AC260+AC270+AC278+AC286</f>
        <v>4098867829.7200003</v>
      </c>
      <c r="AD211" s="1064">
        <f t="shared" si="260"/>
        <v>0.64104908190803878</v>
      </c>
      <c r="AE211" s="1047">
        <f>+AE212+AE218+AE229+AE239+AE245+AE250+AE260+AE270+AE278+AE286</f>
        <v>1207228666.8599999</v>
      </c>
      <c r="AF211" s="1566">
        <f>+AF212+AF218+AF229+AF239+AF245+AF250+AF260+AF270+AF278+AF286</f>
        <v>1871280053.75</v>
      </c>
      <c r="AG211" s="1062">
        <f>+AG212+AG218+AG229+AG239+AG245+AG250+AG260+AG270+AG278+AG286</f>
        <v>1789671589.02</v>
      </c>
      <c r="AH211" s="1076">
        <f t="shared" si="261"/>
        <v>0.95638896242897553</v>
      </c>
      <c r="AI211" s="1062">
        <f>+AI212+AI218+AI229+AI239+AI245+AI250+AI260+AI270+AI278+AI286</f>
        <v>33671000000</v>
      </c>
      <c r="AJ211" s="1062">
        <f>+AJ212+AJ218+AJ229+AJ239+AJ245+AJ250+AJ260+AJ270+AJ278+AJ286</f>
        <v>9062108435.3299999</v>
      </c>
      <c r="AK211" s="1066">
        <f t="shared" si="262"/>
        <v>0.26913689630037718</v>
      </c>
      <c r="AL211" s="1067"/>
      <c r="AM211" s="1067"/>
      <c r="AN211" s="1068"/>
      <c r="AO211" s="1047"/>
      <c r="AP211" s="1077"/>
      <c r="AQ211" s="1077"/>
    </row>
    <row r="212" spans="1:43" ht="51.75" thickBot="1" x14ac:dyDescent="0.3">
      <c r="A212" s="628" t="s">
        <v>443</v>
      </c>
      <c r="B212" s="629"/>
      <c r="C212" s="630"/>
      <c r="D212" s="631"/>
      <c r="E212" s="632"/>
      <c r="F212" s="630"/>
      <c r="G212" s="630"/>
      <c r="H212" s="633">
        <f>+(H213*W213)</f>
        <v>1</v>
      </c>
      <c r="I212" s="644">
        <f>+(I213*X213)</f>
        <v>1</v>
      </c>
      <c r="J212" s="634"/>
      <c r="K212" s="635"/>
      <c r="L212" s="636"/>
      <c r="M212" s="637"/>
      <c r="N212" s="637"/>
      <c r="O212" s="638"/>
      <c r="P212" s="638"/>
      <c r="Q212" s="638"/>
      <c r="R212" s="639"/>
      <c r="S212" s="638"/>
      <c r="T212" s="640"/>
      <c r="U212" s="641"/>
      <c r="V212" s="680">
        <f>+(V213*W213)</f>
        <v>0.94666666666666666</v>
      </c>
      <c r="W212" s="646">
        <v>0.1</v>
      </c>
      <c r="X212" s="657">
        <v>0.1</v>
      </c>
      <c r="Y212" s="642">
        <f>+Y213</f>
        <v>630000000</v>
      </c>
      <c r="Z212" s="642">
        <f>+Z213</f>
        <v>341342657</v>
      </c>
      <c r="AA212" s="642">
        <f>+AA213</f>
        <v>576619318.39999998</v>
      </c>
      <c r="AB212" s="643">
        <f t="shared" si="255"/>
        <v>0.91526875936507934</v>
      </c>
      <c r="AC212" s="642">
        <f>+AC213</f>
        <v>500799213</v>
      </c>
      <c r="AD212" s="644">
        <f t="shared" si="260"/>
        <v>0.79491938571428566</v>
      </c>
      <c r="AE212" s="629">
        <f>+AE213</f>
        <v>75820105.399999976</v>
      </c>
      <c r="AF212" s="637">
        <f>+AF213</f>
        <v>28000000</v>
      </c>
      <c r="AG212" s="642">
        <f>+AG213</f>
        <v>19001563</v>
      </c>
      <c r="AH212" s="699">
        <f t="shared" si="261"/>
        <v>0.67862725000000002</v>
      </c>
      <c r="AI212" s="642">
        <f>+AI213</f>
        <v>2270000000</v>
      </c>
      <c r="AJ212" s="642">
        <f>+AJ213</f>
        <v>917961975.39999998</v>
      </c>
      <c r="AK212" s="646">
        <f t="shared" si="262"/>
        <v>0.40438853541850217</v>
      </c>
      <c r="AL212" s="636"/>
      <c r="AM212" s="636" t="s">
        <v>301</v>
      </c>
      <c r="AN212" s="637"/>
      <c r="AO212" s="629"/>
      <c r="AP212" s="691"/>
      <c r="AQ212" s="691"/>
    </row>
    <row r="213" spans="1:43" x14ac:dyDescent="0.25">
      <c r="A213" s="252" t="s">
        <v>495</v>
      </c>
      <c r="B213" s="344"/>
      <c r="C213" s="611"/>
      <c r="D213" s="612"/>
      <c r="E213" s="613"/>
      <c r="F213" s="611"/>
      <c r="G213" s="611"/>
      <c r="H213" s="220">
        <f>+(H215*12%)+(H216*44%)+(H217*44%)</f>
        <v>1</v>
      </c>
      <c r="I213" s="622">
        <f>+SUMPRODUCT(I214:I217,X214:X217)</f>
        <v>1</v>
      </c>
      <c r="J213" s="614"/>
      <c r="K213" s="615"/>
      <c r="L213" s="196"/>
      <c r="M213" s="590"/>
      <c r="N213" s="590"/>
      <c r="O213" s="616"/>
      <c r="P213" s="616"/>
      <c r="Q213" s="616"/>
      <c r="R213" s="617"/>
      <c r="S213" s="616"/>
      <c r="T213" s="618"/>
      <c r="U213" s="202"/>
      <c r="V213" s="656">
        <f>+SUMPRODUCT(V214:V217,W214:W217)</f>
        <v>0.94666666666666666</v>
      </c>
      <c r="W213" s="220">
        <v>1</v>
      </c>
      <c r="X213" s="619">
        <v>1</v>
      </c>
      <c r="Y213" s="620">
        <f>SUM(Y214:Y217)</f>
        <v>630000000</v>
      </c>
      <c r="Z213" s="620">
        <f>SUM(Z214:Z217)</f>
        <v>341342657</v>
      </c>
      <c r="AA213" s="620">
        <f>SUM(AA214:AA217)</f>
        <v>576619318.39999998</v>
      </c>
      <c r="AB213" s="621">
        <f t="shared" si="255"/>
        <v>0.91526875936507934</v>
      </c>
      <c r="AC213" s="620">
        <f>SUM(AC214:AC217)</f>
        <v>500799213</v>
      </c>
      <c r="AD213" s="666">
        <f t="shared" si="260"/>
        <v>0.79491938571428566</v>
      </c>
      <c r="AE213" s="1518">
        <f>SUM(AE214:AE217)</f>
        <v>75820105.399999976</v>
      </c>
      <c r="AF213" s="590">
        <f>SUM(AF214:AF217)</f>
        <v>28000000</v>
      </c>
      <c r="AG213" s="620">
        <f>SUM(AG214:AG217)</f>
        <v>19001563</v>
      </c>
      <c r="AH213" s="505">
        <f t="shared" si="261"/>
        <v>0.67862725000000002</v>
      </c>
      <c r="AI213" s="620">
        <f>SUM(AI214:AI217)</f>
        <v>2270000000</v>
      </c>
      <c r="AJ213" s="620">
        <f>SUM(AJ214:AJ217)</f>
        <v>917961975.39999998</v>
      </c>
      <c r="AK213" s="1696">
        <f t="shared" si="262"/>
        <v>0.40438853541850217</v>
      </c>
      <c r="AL213" s="624"/>
      <c r="AM213" s="625"/>
      <c r="AN213" s="626"/>
      <c r="AO213" s="1518"/>
      <c r="AP213" s="627"/>
      <c r="AQ213" s="627"/>
    </row>
    <row r="214" spans="1:43" ht="76.5" x14ac:dyDescent="0.25">
      <c r="A214" s="268" t="s">
        <v>652</v>
      </c>
      <c r="B214" s="359" t="s">
        <v>824</v>
      </c>
      <c r="C214" s="386">
        <v>0</v>
      </c>
      <c r="D214" s="319">
        <v>1</v>
      </c>
      <c r="E214" s="233">
        <v>0</v>
      </c>
      <c r="F214" s="147">
        <v>1</v>
      </c>
      <c r="G214" s="147"/>
      <c r="H214" s="167" t="e">
        <f t="shared" ref="H214" si="277">IF((E214+G214)/C214&gt;=100%,100%,(E214+G214)/C214)</f>
        <v>#DIV/0!</v>
      </c>
      <c r="I214" s="520">
        <f t="shared" ref="I214" si="278">IF(F214/D214&gt;=100%,100%,F214/D214)</f>
        <v>1</v>
      </c>
      <c r="J214" s="594" t="s">
        <v>1018</v>
      </c>
      <c r="K214" s="569"/>
      <c r="L214" s="102"/>
      <c r="M214" s="104"/>
      <c r="N214" s="146"/>
      <c r="O214" s="173"/>
      <c r="P214" s="173"/>
      <c r="Q214" s="173"/>
      <c r="R214" s="150"/>
      <c r="S214" s="173"/>
      <c r="T214" s="194">
        <v>1</v>
      </c>
      <c r="U214" s="195">
        <f>SUM(E214:G214)</f>
        <v>1</v>
      </c>
      <c r="V214" s="170">
        <f t="shared" ref="V214" si="279">IF(U214/T214&gt;=100%,100%,U214/T214)</f>
        <v>1</v>
      </c>
      <c r="W214" s="423">
        <v>0.1</v>
      </c>
      <c r="X214" s="442">
        <v>0.1</v>
      </c>
      <c r="Y214" s="479">
        <v>80000000</v>
      </c>
      <c r="Z214" s="287">
        <v>0</v>
      </c>
      <c r="AA214" s="479">
        <v>78856872</v>
      </c>
      <c r="AB214" s="208">
        <f t="shared" si="255"/>
        <v>0.98571089999999995</v>
      </c>
      <c r="AC214" s="479">
        <v>75227275</v>
      </c>
      <c r="AD214" s="557">
        <f t="shared" si="260"/>
        <v>0.94034093750000003</v>
      </c>
      <c r="AE214" s="154">
        <f>+AA214-AC214</f>
        <v>3629597</v>
      </c>
      <c r="AF214" s="1567">
        <v>0</v>
      </c>
      <c r="AG214" s="287">
        <v>0</v>
      </c>
      <c r="AH214" s="506" t="e">
        <f t="shared" si="261"/>
        <v>#DIV/0!</v>
      </c>
      <c r="AI214" s="198">
        <v>100000000</v>
      </c>
      <c r="AJ214" s="198">
        <f t="shared" ref="AJ214:AJ217" si="280">+SUM(Z214:AA214)</f>
        <v>78856872</v>
      </c>
      <c r="AK214" s="557">
        <f t="shared" si="262"/>
        <v>0.78856872</v>
      </c>
      <c r="AL214" s="162"/>
      <c r="AM214" s="155"/>
      <c r="AN214" s="151" t="s">
        <v>302</v>
      </c>
      <c r="AO214" s="1794" t="s">
        <v>895</v>
      </c>
      <c r="AP214" s="98"/>
      <c r="AQ214" s="98"/>
    </row>
    <row r="215" spans="1:43" ht="140.25" x14ac:dyDescent="0.25">
      <c r="A215" s="268" t="s">
        <v>653</v>
      </c>
      <c r="B215" s="359" t="s">
        <v>825</v>
      </c>
      <c r="C215" s="386">
        <v>3</v>
      </c>
      <c r="D215" s="319">
        <v>4</v>
      </c>
      <c r="E215" s="233">
        <v>3</v>
      </c>
      <c r="F215" s="147">
        <v>4</v>
      </c>
      <c r="G215" s="147"/>
      <c r="H215" s="167">
        <f t="shared" ref="H215:H217" si="281">IF((E215+G215)/C215&gt;=100%,100%,(E215+G215)/C215)</f>
        <v>1</v>
      </c>
      <c r="I215" s="520">
        <f t="shared" ref="I215:I217" si="282">IF(F215/D215&gt;=100%,100%,F215/D215)</f>
        <v>1</v>
      </c>
      <c r="J215" s="594" t="s">
        <v>1019</v>
      </c>
      <c r="K215" s="569"/>
      <c r="L215" s="102"/>
      <c r="M215" s="104"/>
      <c r="N215" s="146"/>
      <c r="O215" s="173"/>
      <c r="P215" s="173"/>
      <c r="Q215" s="173"/>
      <c r="R215" s="150"/>
      <c r="S215" s="173"/>
      <c r="T215" s="194">
        <v>15</v>
      </c>
      <c r="U215" s="195">
        <f t="shared" ref="U215:U217" si="283">SUM(E215:G215)</f>
        <v>7</v>
      </c>
      <c r="V215" s="170">
        <f t="shared" ref="V215:V217" si="284">IF(U215/T215&gt;=100%,100%,U215/T215)</f>
        <v>0.46666666666666667</v>
      </c>
      <c r="W215" s="423">
        <v>0.1</v>
      </c>
      <c r="X215" s="442">
        <v>0.1</v>
      </c>
      <c r="Y215" s="479">
        <v>30000000</v>
      </c>
      <c r="Z215" s="287">
        <v>2112242</v>
      </c>
      <c r="AA215" s="479">
        <v>7331359</v>
      </c>
      <c r="AB215" s="208">
        <f t="shared" si="255"/>
        <v>0.24437863333333334</v>
      </c>
      <c r="AC215" s="479">
        <v>5555028</v>
      </c>
      <c r="AD215" s="894">
        <f t="shared" si="260"/>
        <v>0.18516759999999999</v>
      </c>
      <c r="AE215" s="1601">
        <f>+AA215-AC215</f>
        <v>1776331</v>
      </c>
      <c r="AF215" s="1567">
        <v>0</v>
      </c>
      <c r="AG215" s="287">
        <v>0</v>
      </c>
      <c r="AH215" s="1097" t="e">
        <f t="shared" si="261"/>
        <v>#DIV/0!</v>
      </c>
      <c r="AI215" s="1603">
        <v>120000000</v>
      </c>
      <c r="AJ215" s="1603">
        <f t="shared" si="280"/>
        <v>9443601</v>
      </c>
      <c r="AK215" s="894">
        <f t="shared" si="262"/>
        <v>7.8696674999999994E-2</v>
      </c>
      <c r="AL215" s="1615"/>
      <c r="AM215" s="1604"/>
      <c r="AN215" s="151" t="s">
        <v>302</v>
      </c>
      <c r="AO215" s="1794" t="s">
        <v>925</v>
      </c>
      <c r="AP215" s="98"/>
      <c r="AQ215" s="98"/>
    </row>
    <row r="216" spans="1:43" ht="114.75" x14ac:dyDescent="0.25">
      <c r="A216" s="268" t="s">
        <v>654</v>
      </c>
      <c r="B216" s="359" t="s">
        <v>826</v>
      </c>
      <c r="C216" s="387">
        <v>0.9</v>
      </c>
      <c r="D216" s="320">
        <v>0.9</v>
      </c>
      <c r="E216" s="234">
        <v>0.9</v>
      </c>
      <c r="F216" s="169">
        <v>1</v>
      </c>
      <c r="G216" s="147"/>
      <c r="H216" s="167">
        <f t="shared" si="281"/>
        <v>1</v>
      </c>
      <c r="I216" s="520">
        <f t="shared" si="282"/>
        <v>1</v>
      </c>
      <c r="J216" s="594" t="s">
        <v>1020</v>
      </c>
      <c r="K216" s="569"/>
      <c r="L216" s="102"/>
      <c r="M216" s="104"/>
      <c r="N216" s="146"/>
      <c r="O216" s="173"/>
      <c r="P216" s="173"/>
      <c r="Q216" s="173"/>
      <c r="R216" s="150"/>
      <c r="S216" s="173"/>
      <c r="T216" s="179">
        <v>0.9</v>
      </c>
      <c r="U216" s="195">
        <f t="shared" si="283"/>
        <v>1.9</v>
      </c>
      <c r="V216" s="170">
        <f t="shared" si="284"/>
        <v>1</v>
      </c>
      <c r="W216" s="423">
        <v>0.4</v>
      </c>
      <c r="X216" s="442">
        <v>0.4</v>
      </c>
      <c r="Y216" s="479">
        <v>200000000</v>
      </c>
      <c r="Z216" s="287">
        <v>120914682</v>
      </c>
      <c r="AA216" s="479">
        <v>179743921</v>
      </c>
      <c r="AB216" s="208">
        <f t="shared" si="255"/>
        <v>0.89871960500000003</v>
      </c>
      <c r="AC216" s="479">
        <v>123723644</v>
      </c>
      <c r="AD216" s="1104">
        <f t="shared" si="260"/>
        <v>0.61861822</v>
      </c>
      <c r="AE216" s="1601">
        <f>+AA216-AC216</f>
        <v>56020277</v>
      </c>
      <c r="AF216" s="1567">
        <v>28000000</v>
      </c>
      <c r="AG216" s="287">
        <v>19001563</v>
      </c>
      <c r="AH216" s="1097">
        <f t="shared" si="261"/>
        <v>0.67862725000000002</v>
      </c>
      <c r="AI216" s="1603">
        <v>1050000000</v>
      </c>
      <c r="AJ216" s="1603">
        <f t="shared" si="280"/>
        <v>300658603</v>
      </c>
      <c r="AK216" s="894">
        <f t="shared" si="262"/>
        <v>0.28634152666666668</v>
      </c>
      <c r="AL216" s="1615"/>
      <c r="AM216" s="1604"/>
      <c r="AN216" s="151" t="s">
        <v>302</v>
      </c>
      <c r="AO216" s="1794" t="s">
        <v>926</v>
      </c>
      <c r="AP216" s="98"/>
      <c r="AQ216" s="98"/>
    </row>
    <row r="217" spans="1:43" ht="102.75" thickBot="1" x14ac:dyDescent="0.3">
      <c r="A217" s="271" t="s">
        <v>655</v>
      </c>
      <c r="B217" s="647" t="s">
        <v>827</v>
      </c>
      <c r="C217" s="681">
        <v>10</v>
      </c>
      <c r="D217" s="682">
        <v>10</v>
      </c>
      <c r="E217" s="683">
        <v>10</v>
      </c>
      <c r="F217" s="573">
        <v>31</v>
      </c>
      <c r="G217" s="573"/>
      <c r="H217" s="561">
        <f t="shared" si="281"/>
        <v>1</v>
      </c>
      <c r="I217" s="557">
        <f t="shared" si="282"/>
        <v>1</v>
      </c>
      <c r="J217" s="594" t="s">
        <v>1021</v>
      </c>
      <c r="K217" s="569"/>
      <c r="L217" s="177"/>
      <c r="M217" s="178"/>
      <c r="N217" s="568"/>
      <c r="O217" s="173"/>
      <c r="P217" s="173"/>
      <c r="Q217" s="173"/>
      <c r="R217" s="574"/>
      <c r="S217" s="173"/>
      <c r="T217" s="194">
        <v>40</v>
      </c>
      <c r="U217" s="555">
        <f t="shared" si="283"/>
        <v>41</v>
      </c>
      <c r="V217" s="575">
        <f t="shared" si="284"/>
        <v>1</v>
      </c>
      <c r="W217" s="425">
        <v>0.4</v>
      </c>
      <c r="X217" s="443">
        <v>0.4</v>
      </c>
      <c r="Y217" s="654">
        <v>320000000</v>
      </c>
      <c r="Z217" s="655">
        <v>218315733</v>
      </c>
      <c r="AA217" s="654">
        <v>310687166.39999998</v>
      </c>
      <c r="AB217" s="580">
        <f t="shared" si="255"/>
        <v>0.97089739499999994</v>
      </c>
      <c r="AC217" s="654">
        <v>296293266</v>
      </c>
      <c r="AD217" s="557">
        <f t="shared" si="260"/>
        <v>0.92591645624999996</v>
      </c>
      <c r="AE217" s="163">
        <f>+AA217-AC217</f>
        <v>14393900.399999976</v>
      </c>
      <c r="AF217" s="1568">
        <v>0</v>
      </c>
      <c r="AG217" s="655">
        <v>0</v>
      </c>
      <c r="AH217" s="581" t="e">
        <f t="shared" si="261"/>
        <v>#DIV/0!</v>
      </c>
      <c r="AI217" s="582">
        <v>1000000000</v>
      </c>
      <c r="AJ217" s="582">
        <f t="shared" si="280"/>
        <v>529002899.39999998</v>
      </c>
      <c r="AK217" s="557">
        <f t="shared" si="262"/>
        <v>0.5290028994</v>
      </c>
      <c r="AL217" s="162"/>
      <c r="AM217" s="162"/>
      <c r="AN217" s="589" t="s">
        <v>302</v>
      </c>
      <c r="AO217" s="1795" t="s">
        <v>927</v>
      </c>
      <c r="AP217" s="594"/>
      <c r="AQ217" s="594"/>
    </row>
    <row r="218" spans="1:43" ht="51.75" thickBot="1" x14ac:dyDescent="0.3">
      <c r="A218" s="628" t="s">
        <v>444</v>
      </c>
      <c r="B218" s="629"/>
      <c r="C218" s="630"/>
      <c r="D218" s="631"/>
      <c r="E218" s="632"/>
      <c r="F218" s="630"/>
      <c r="G218" s="630"/>
      <c r="H218" s="633">
        <f>+(H219*W219)+(H227*W227)</f>
        <v>1</v>
      </c>
      <c r="I218" s="644">
        <f>+(I219*X219)+(I227*X227)</f>
        <v>0.6399999999999999</v>
      </c>
      <c r="J218" s="634"/>
      <c r="K218" s="635"/>
      <c r="L218" s="636"/>
      <c r="M218" s="637"/>
      <c r="N218" s="637"/>
      <c r="O218" s="638"/>
      <c r="P218" s="638"/>
      <c r="Q218" s="638"/>
      <c r="R218" s="639"/>
      <c r="S218" s="638"/>
      <c r="T218" s="640"/>
      <c r="U218" s="641"/>
      <c r="V218" s="680">
        <f>+(V219*W219)+(V227*W227)</f>
        <v>0.54</v>
      </c>
      <c r="W218" s="646">
        <v>0.1</v>
      </c>
      <c r="X218" s="657">
        <v>0.1</v>
      </c>
      <c r="Y218" s="642">
        <f>+Y219+Y227</f>
        <v>349000000</v>
      </c>
      <c r="Z218" s="642">
        <f>+Z219+Z227</f>
        <v>103830000</v>
      </c>
      <c r="AA218" s="642">
        <f>+AA219+AA227</f>
        <v>170793813</v>
      </c>
      <c r="AB218" s="643">
        <f t="shared" si="255"/>
        <v>0.48938055300859601</v>
      </c>
      <c r="AC218" s="642">
        <f>+AC219+AC227</f>
        <v>154222709</v>
      </c>
      <c r="AD218" s="1697">
        <f t="shared" si="260"/>
        <v>0.44189887965616048</v>
      </c>
      <c r="AE218" s="629">
        <f>+AE219+AE227</f>
        <v>16571104</v>
      </c>
      <c r="AF218" s="637">
        <f>+AF219+AF227</f>
        <v>36600000</v>
      </c>
      <c r="AG218" s="642">
        <f>+AG219+AG227</f>
        <v>36600000</v>
      </c>
      <c r="AH218" s="699">
        <f t="shared" si="261"/>
        <v>1</v>
      </c>
      <c r="AI218" s="642">
        <f t="shared" ref="AI218" si="285">+AI219+AI227</f>
        <v>1570000000</v>
      </c>
      <c r="AJ218" s="642">
        <f>+AJ219+AJ227</f>
        <v>274623813</v>
      </c>
      <c r="AK218" s="1697">
        <f t="shared" si="262"/>
        <v>0.17491962611464967</v>
      </c>
      <c r="AL218" s="636"/>
      <c r="AM218" s="636" t="s">
        <v>301</v>
      </c>
      <c r="AN218" s="637"/>
      <c r="AO218" s="629"/>
      <c r="AP218" s="691"/>
      <c r="AQ218" s="691"/>
    </row>
    <row r="219" spans="1:43" x14ac:dyDescent="0.25">
      <c r="A219" s="252" t="s">
        <v>496</v>
      </c>
      <c r="B219" s="344"/>
      <c r="C219" s="611"/>
      <c r="D219" s="612"/>
      <c r="E219" s="613"/>
      <c r="F219" s="611"/>
      <c r="G219" s="611"/>
      <c r="H219" s="220">
        <f>+(H220*22%)+(H221*16%)+(H222*16%)+(H223*16%)++(H224*18%)+(H226*12%)</f>
        <v>1</v>
      </c>
      <c r="I219" s="1162">
        <f>+SUMPRODUCT(I220:I226,X220:X226)</f>
        <v>0.54999999999999993</v>
      </c>
      <c r="J219" s="1164"/>
      <c r="K219" s="615"/>
      <c r="L219" s="196"/>
      <c r="M219" s="590"/>
      <c r="N219" s="590"/>
      <c r="O219" s="616"/>
      <c r="P219" s="616"/>
      <c r="Q219" s="616"/>
      <c r="R219" s="617"/>
      <c r="S219" s="616"/>
      <c r="T219" s="672"/>
      <c r="U219" s="202"/>
      <c r="V219" s="656">
        <f>+SUMPRODUCT(V220:V226,W220:W226)</f>
        <v>0.55000000000000004</v>
      </c>
      <c r="W219" s="220">
        <v>0.8</v>
      </c>
      <c r="X219" s="619">
        <v>0.8</v>
      </c>
      <c r="Y219" s="620">
        <f>SUM(Y220:Y226)</f>
        <v>304000000</v>
      </c>
      <c r="Z219" s="620">
        <f>SUM(Z220:Z226)</f>
        <v>52830000</v>
      </c>
      <c r="AA219" s="620">
        <f>SUM(AA220:AA226)</f>
        <v>126817400</v>
      </c>
      <c r="AB219" s="621">
        <f t="shared" si="255"/>
        <v>0.41716249999999999</v>
      </c>
      <c r="AC219" s="623">
        <f>SUM(AC220:AC226)</f>
        <v>112237392</v>
      </c>
      <c r="AD219" s="1696">
        <f t="shared" si="260"/>
        <v>0.36920194736842105</v>
      </c>
      <c r="AE219" s="1518">
        <f>SUM(AE220:AE226)</f>
        <v>14580008</v>
      </c>
      <c r="AF219" s="590">
        <f>SUM(AF220:AF226)</f>
        <v>3600000</v>
      </c>
      <c r="AG219" s="620">
        <f>SUM(AG220:AG226)</f>
        <v>3600000</v>
      </c>
      <c r="AH219" s="505">
        <f t="shared" si="261"/>
        <v>1</v>
      </c>
      <c r="AI219" s="620">
        <f t="shared" ref="AI219" si="286">SUM(AI220:AI226)</f>
        <v>1250000000</v>
      </c>
      <c r="AJ219" s="620">
        <f>SUM(AJ220:AJ226)</f>
        <v>179647400</v>
      </c>
      <c r="AK219" s="1696">
        <f t="shared" si="262"/>
        <v>0.14371792</v>
      </c>
      <c r="AL219" s="624"/>
      <c r="AM219" s="625"/>
      <c r="AN219" s="626"/>
      <c r="AO219" s="1518"/>
      <c r="AP219" s="627"/>
      <c r="AQ219" s="627"/>
    </row>
    <row r="220" spans="1:43" ht="76.5" x14ac:dyDescent="0.25">
      <c r="A220" s="269" t="s">
        <v>656</v>
      </c>
      <c r="B220" s="360" t="s">
        <v>828</v>
      </c>
      <c r="C220" s="388">
        <v>1</v>
      </c>
      <c r="D220" s="321">
        <v>1</v>
      </c>
      <c r="E220" s="182">
        <v>1</v>
      </c>
      <c r="F220" s="147">
        <v>1</v>
      </c>
      <c r="G220" s="147"/>
      <c r="H220" s="167">
        <f t="shared" ref="H220" si="287">IF((E220+G220)/C220&gt;=100%,100%,(E220+G220)/C220)</f>
        <v>1</v>
      </c>
      <c r="I220" s="1161">
        <f t="shared" ref="I220" si="288">IF(F220/D220&gt;=100%,100%,F220/D220)</f>
        <v>1</v>
      </c>
      <c r="J220" s="98" t="s">
        <v>1022</v>
      </c>
      <c r="K220" s="569"/>
      <c r="L220" s="102"/>
      <c r="M220" s="104"/>
      <c r="N220" s="146"/>
      <c r="O220" s="173"/>
      <c r="P220" s="173"/>
      <c r="Q220" s="173"/>
      <c r="R220" s="150"/>
      <c r="S220" s="173"/>
      <c r="T220" s="235">
        <v>4</v>
      </c>
      <c r="U220" s="195">
        <f>SUM(E220:G220)</f>
        <v>2</v>
      </c>
      <c r="V220" s="170">
        <f t="shared" ref="V220" si="289">IF(U220/T220&gt;=100%,100%,U220/T220)</f>
        <v>0.5</v>
      </c>
      <c r="W220" s="424">
        <v>0.2</v>
      </c>
      <c r="X220" s="424">
        <v>0.2</v>
      </c>
      <c r="Y220" s="480">
        <v>40000000</v>
      </c>
      <c r="Z220" s="288">
        <v>8330000</v>
      </c>
      <c r="AA220" s="480">
        <v>31878784</v>
      </c>
      <c r="AB220" s="208">
        <f t="shared" si="255"/>
        <v>0.79696959999999994</v>
      </c>
      <c r="AC220" s="480">
        <v>29804729</v>
      </c>
      <c r="AD220" s="557">
        <f t="shared" si="260"/>
        <v>0.74511822500000002</v>
      </c>
      <c r="AE220" s="154">
        <f t="shared" ref="AE220:AE226" si="290">+AA220-AC220</f>
        <v>2074055</v>
      </c>
      <c r="AF220" s="1569">
        <v>0</v>
      </c>
      <c r="AG220" s="288">
        <v>0</v>
      </c>
      <c r="AH220" s="506" t="e">
        <f t="shared" si="261"/>
        <v>#DIV/0!</v>
      </c>
      <c r="AI220" s="198">
        <v>200000000</v>
      </c>
      <c r="AJ220" s="198">
        <f t="shared" ref="AJ220:AJ228" si="291">+SUM(Z220:AA220)</f>
        <v>40208784</v>
      </c>
      <c r="AK220" s="561">
        <f t="shared" si="262"/>
        <v>0.20104391999999999</v>
      </c>
      <c r="AL220" s="162"/>
      <c r="AM220" s="155"/>
      <c r="AN220" s="151" t="s">
        <v>302</v>
      </c>
      <c r="AO220" s="1796" t="s">
        <v>928</v>
      </c>
      <c r="AP220" s="98"/>
      <c r="AQ220" s="98"/>
    </row>
    <row r="221" spans="1:43" ht="90" x14ac:dyDescent="0.25">
      <c r="A221" s="269" t="s">
        <v>657</v>
      </c>
      <c r="B221" s="360" t="s">
        <v>829</v>
      </c>
      <c r="C221" s="388">
        <v>1</v>
      </c>
      <c r="D221" s="321">
        <v>0.1</v>
      </c>
      <c r="E221" s="1582">
        <v>0</v>
      </c>
      <c r="F221" s="558">
        <v>0</v>
      </c>
      <c r="G221" s="558">
        <v>1</v>
      </c>
      <c r="H221" s="598">
        <f t="shared" ref="H221:H226" si="292">IF((E221+G221)/C221&gt;=100%,100%,(E221+G221)/C221)</f>
        <v>1</v>
      </c>
      <c r="I221" s="1694">
        <v>0</v>
      </c>
      <c r="J221" s="1716" t="s">
        <v>1474</v>
      </c>
      <c r="K221" s="1088"/>
      <c r="L221" s="1583"/>
      <c r="M221" s="1584"/>
      <c r="N221" s="1085"/>
      <c r="O221" s="1090"/>
      <c r="P221" s="1090"/>
      <c r="Q221" s="1090"/>
      <c r="R221" s="1091"/>
      <c r="S221" s="1090"/>
      <c r="T221" s="235">
        <v>1</v>
      </c>
      <c r="U221" s="599">
        <f>SUM(E221:G221)</f>
        <v>1</v>
      </c>
      <c r="V221" s="1684">
        <f t="shared" ref="V221:V226" si="293">IF(U221/T221&gt;=100%,100%,U221/T221)</f>
        <v>1</v>
      </c>
      <c r="W221" s="424">
        <v>0.15</v>
      </c>
      <c r="X221" s="424">
        <v>0.15</v>
      </c>
      <c r="Y221" s="1695">
        <v>40000000</v>
      </c>
      <c r="Z221" s="288">
        <v>15000000</v>
      </c>
      <c r="AA221" s="480">
        <v>20178784</v>
      </c>
      <c r="AB221" s="1095">
        <f t="shared" si="255"/>
        <v>0.50446959999999996</v>
      </c>
      <c r="AC221" s="480">
        <v>18104729</v>
      </c>
      <c r="AD221" s="894">
        <f t="shared" si="260"/>
        <v>0.45261822499999999</v>
      </c>
      <c r="AE221" s="1601">
        <f t="shared" si="290"/>
        <v>2074055</v>
      </c>
      <c r="AF221" s="1569">
        <v>0</v>
      </c>
      <c r="AG221" s="288">
        <v>0</v>
      </c>
      <c r="AH221" s="1097" t="e">
        <f t="shared" si="261"/>
        <v>#DIV/0!</v>
      </c>
      <c r="AI221" s="1602">
        <v>80000000</v>
      </c>
      <c r="AJ221" s="1603">
        <f t="shared" si="291"/>
        <v>35178784</v>
      </c>
      <c r="AK221" s="894">
        <f t="shared" si="262"/>
        <v>0.43973479999999998</v>
      </c>
      <c r="AL221" s="1615"/>
      <c r="AM221" s="1604"/>
      <c r="AN221" s="151" t="s">
        <v>302</v>
      </c>
      <c r="AO221" s="1900" t="s">
        <v>928</v>
      </c>
      <c r="AP221" s="98"/>
      <c r="AQ221" s="98"/>
    </row>
    <row r="222" spans="1:43" ht="90" x14ac:dyDescent="0.25">
      <c r="A222" s="269" t="s">
        <v>658</v>
      </c>
      <c r="B222" s="360" t="s">
        <v>830</v>
      </c>
      <c r="C222" s="388">
        <v>1</v>
      </c>
      <c r="D222" s="321">
        <v>0.1</v>
      </c>
      <c r="E222" s="1582">
        <v>1</v>
      </c>
      <c r="F222" s="558">
        <v>0</v>
      </c>
      <c r="G222" s="558"/>
      <c r="H222" s="598">
        <f t="shared" si="292"/>
        <v>1</v>
      </c>
      <c r="I222" s="1694">
        <v>0</v>
      </c>
      <c r="J222" s="1716" t="s">
        <v>1474</v>
      </c>
      <c r="K222" s="1088"/>
      <c r="L222" s="1583"/>
      <c r="M222" s="1584"/>
      <c r="N222" s="1085"/>
      <c r="O222" s="1090"/>
      <c r="P222" s="1090"/>
      <c r="Q222" s="1090"/>
      <c r="R222" s="1091"/>
      <c r="S222" s="1090"/>
      <c r="T222" s="235">
        <v>2</v>
      </c>
      <c r="U222" s="599">
        <f t="shared" ref="U222:U226" si="294">SUM(E222:G222)</f>
        <v>1</v>
      </c>
      <c r="V222" s="1684">
        <f t="shared" si="293"/>
        <v>0.5</v>
      </c>
      <c r="W222" s="424">
        <v>0.15</v>
      </c>
      <c r="X222" s="424">
        <v>0.15</v>
      </c>
      <c r="Y222" s="1695">
        <v>40000000</v>
      </c>
      <c r="Z222" s="288">
        <v>15000000</v>
      </c>
      <c r="AA222" s="480">
        <v>20178784</v>
      </c>
      <c r="AB222" s="1095">
        <f t="shared" si="255"/>
        <v>0.50446959999999996</v>
      </c>
      <c r="AC222" s="480">
        <v>18104729</v>
      </c>
      <c r="AD222" s="894">
        <f t="shared" si="260"/>
        <v>0.45261822499999999</v>
      </c>
      <c r="AE222" s="1601">
        <f t="shared" si="290"/>
        <v>2074055</v>
      </c>
      <c r="AF222" s="1569">
        <v>3600000</v>
      </c>
      <c r="AG222" s="288">
        <v>3600000</v>
      </c>
      <c r="AH222" s="1097">
        <f t="shared" si="261"/>
        <v>1</v>
      </c>
      <c r="AI222" s="1602">
        <v>80000000</v>
      </c>
      <c r="AJ222" s="1603">
        <f t="shared" si="291"/>
        <v>35178784</v>
      </c>
      <c r="AK222" s="894">
        <f t="shared" si="262"/>
        <v>0.43973479999999998</v>
      </c>
      <c r="AL222" s="1615"/>
      <c r="AM222" s="1604"/>
      <c r="AN222" s="151" t="s">
        <v>302</v>
      </c>
      <c r="AO222" s="1897"/>
      <c r="AP222" s="98"/>
      <c r="AQ222" s="98"/>
    </row>
    <row r="223" spans="1:43" ht="90" x14ac:dyDescent="0.25">
      <c r="A223" s="269" t="s">
        <v>659</v>
      </c>
      <c r="B223" s="360" t="s">
        <v>831</v>
      </c>
      <c r="C223" s="388">
        <v>1</v>
      </c>
      <c r="D223" s="321">
        <v>0.1</v>
      </c>
      <c r="E223" s="1582">
        <v>0</v>
      </c>
      <c r="F223" s="558">
        <v>0</v>
      </c>
      <c r="G223" s="558">
        <v>1</v>
      </c>
      <c r="H223" s="598">
        <f t="shared" si="292"/>
        <v>1</v>
      </c>
      <c r="I223" s="1694">
        <v>0</v>
      </c>
      <c r="J223" s="1716" t="s">
        <v>1474</v>
      </c>
      <c r="K223" s="1088"/>
      <c r="L223" s="1583"/>
      <c r="M223" s="1584"/>
      <c r="N223" s="1085"/>
      <c r="O223" s="1090"/>
      <c r="P223" s="1090"/>
      <c r="Q223" s="1090"/>
      <c r="R223" s="1091"/>
      <c r="S223" s="1090"/>
      <c r="T223" s="235">
        <v>3</v>
      </c>
      <c r="U223" s="599">
        <f t="shared" si="294"/>
        <v>1</v>
      </c>
      <c r="V223" s="1684">
        <f t="shared" si="293"/>
        <v>0.33333333333333331</v>
      </c>
      <c r="W223" s="424">
        <v>0.15</v>
      </c>
      <c r="X223" s="424">
        <v>0.15</v>
      </c>
      <c r="Y223" s="1695">
        <v>30000000</v>
      </c>
      <c r="Z223" s="288">
        <v>0</v>
      </c>
      <c r="AA223" s="480">
        <v>19534088</v>
      </c>
      <c r="AB223" s="1095">
        <f t="shared" si="255"/>
        <v>0.65113626666666669</v>
      </c>
      <c r="AC223" s="480">
        <v>17978547</v>
      </c>
      <c r="AD223" s="1104">
        <f t="shared" si="260"/>
        <v>0.59928490000000001</v>
      </c>
      <c r="AE223" s="1601">
        <f t="shared" si="290"/>
        <v>1555541</v>
      </c>
      <c r="AF223" s="1569">
        <v>0</v>
      </c>
      <c r="AG223" s="288">
        <v>0</v>
      </c>
      <c r="AH223" s="1097" t="e">
        <f t="shared" si="261"/>
        <v>#DIV/0!</v>
      </c>
      <c r="AI223" s="1602">
        <v>80000000</v>
      </c>
      <c r="AJ223" s="1603">
        <f t="shared" si="291"/>
        <v>19534088</v>
      </c>
      <c r="AK223" s="894">
        <f t="shared" si="262"/>
        <v>0.24417610000000001</v>
      </c>
      <c r="AL223" s="1615"/>
      <c r="AM223" s="1604"/>
      <c r="AN223" s="151" t="s">
        <v>302</v>
      </c>
      <c r="AO223" s="1897"/>
      <c r="AP223" s="98"/>
      <c r="AQ223" s="98"/>
    </row>
    <row r="224" spans="1:43" ht="102" x14ac:dyDescent="0.25">
      <c r="A224" s="269" t="s">
        <v>660</v>
      </c>
      <c r="B224" s="360" t="s">
        <v>832</v>
      </c>
      <c r="C224" s="388">
        <v>1</v>
      </c>
      <c r="D224" s="321">
        <v>1</v>
      </c>
      <c r="E224" s="1582">
        <v>1</v>
      </c>
      <c r="F224" s="558">
        <v>1</v>
      </c>
      <c r="G224" s="558"/>
      <c r="H224" s="598">
        <f t="shared" si="292"/>
        <v>1</v>
      </c>
      <c r="I224" s="1694">
        <f t="shared" ref="I224:I226" si="295">IF(F224/D224&gt;=100%,100%,F224/D224)</f>
        <v>1</v>
      </c>
      <c r="J224" s="604" t="s">
        <v>1023</v>
      </c>
      <c r="K224" s="1088"/>
      <c r="L224" s="1583"/>
      <c r="M224" s="1584"/>
      <c r="N224" s="1085"/>
      <c r="O224" s="1090"/>
      <c r="P224" s="1090"/>
      <c r="Q224" s="1090"/>
      <c r="R224" s="1091"/>
      <c r="S224" s="1090"/>
      <c r="T224" s="235">
        <v>4</v>
      </c>
      <c r="U224" s="599">
        <f t="shared" si="294"/>
        <v>2</v>
      </c>
      <c r="V224" s="1684">
        <f t="shared" si="293"/>
        <v>0.5</v>
      </c>
      <c r="W224" s="424">
        <v>0.15</v>
      </c>
      <c r="X224" s="424">
        <v>0.15</v>
      </c>
      <c r="Y224" s="480">
        <v>130000000</v>
      </c>
      <c r="Z224" s="288">
        <v>14500000</v>
      </c>
      <c r="AA224" s="480">
        <v>32646960</v>
      </c>
      <c r="AB224" s="1095">
        <f t="shared" si="255"/>
        <v>0.25113046153846152</v>
      </c>
      <c r="AC224" s="480">
        <v>27461821</v>
      </c>
      <c r="AD224" s="894">
        <f t="shared" si="260"/>
        <v>0.21124477692307692</v>
      </c>
      <c r="AE224" s="1601">
        <f t="shared" si="290"/>
        <v>5185139</v>
      </c>
      <c r="AF224" s="1569">
        <v>0</v>
      </c>
      <c r="AG224" s="288">
        <v>0</v>
      </c>
      <c r="AH224" s="1097" t="e">
        <f t="shared" si="261"/>
        <v>#DIV/0!</v>
      </c>
      <c r="AI224" s="1603">
        <v>650000000</v>
      </c>
      <c r="AJ224" s="1603">
        <f t="shared" si="291"/>
        <v>47146960</v>
      </c>
      <c r="AK224" s="894">
        <f t="shared" si="262"/>
        <v>7.2533784615384622E-2</v>
      </c>
      <c r="AL224" s="1615"/>
      <c r="AM224" s="1604"/>
      <c r="AN224" s="151" t="s">
        <v>302</v>
      </c>
      <c r="AO224" s="1897"/>
      <c r="AP224" s="98"/>
      <c r="AQ224" s="98"/>
    </row>
    <row r="225" spans="1:43" ht="76.5" x14ac:dyDescent="0.25">
      <c r="A225" s="269" t="s">
        <v>661</v>
      </c>
      <c r="B225" s="360" t="s">
        <v>833</v>
      </c>
      <c r="C225" s="388">
        <v>0</v>
      </c>
      <c r="D225" s="321">
        <v>1</v>
      </c>
      <c r="E225" s="1582">
        <v>0</v>
      </c>
      <c r="F225" s="558">
        <v>1</v>
      </c>
      <c r="G225" s="558"/>
      <c r="H225" s="598" t="e">
        <f t="shared" si="292"/>
        <v>#DIV/0!</v>
      </c>
      <c r="I225" s="1694">
        <f t="shared" si="295"/>
        <v>1</v>
      </c>
      <c r="J225" s="604" t="s">
        <v>1024</v>
      </c>
      <c r="K225" s="1088"/>
      <c r="L225" s="1583"/>
      <c r="M225" s="1584"/>
      <c r="N225" s="1085"/>
      <c r="O225" s="1090"/>
      <c r="P225" s="1090"/>
      <c r="Q225" s="1090"/>
      <c r="R225" s="1091"/>
      <c r="S225" s="1090"/>
      <c r="T225" s="235">
        <v>2</v>
      </c>
      <c r="U225" s="599">
        <f t="shared" si="294"/>
        <v>1</v>
      </c>
      <c r="V225" s="1684">
        <f t="shared" si="293"/>
        <v>0.5</v>
      </c>
      <c r="W225" s="424">
        <v>0.1</v>
      </c>
      <c r="X225" s="424">
        <v>0.1</v>
      </c>
      <c r="Y225" s="480">
        <v>15000000</v>
      </c>
      <c r="Z225" s="288">
        <v>0</v>
      </c>
      <c r="AA225" s="480">
        <v>1500000</v>
      </c>
      <c r="AB225" s="1095">
        <f t="shared" si="255"/>
        <v>0.1</v>
      </c>
      <c r="AC225" s="480">
        <v>489273</v>
      </c>
      <c r="AD225" s="894">
        <f t="shared" si="260"/>
        <v>3.26182E-2</v>
      </c>
      <c r="AE225" s="1601">
        <f t="shared" si="290"/>
        <v>1010727</v>
      </c>
      <c r="AF225" s="1569">
        <v>0</v>
      </c>
      <c r="AG225" s="288">
        <v>0</v>
      </c>
      <c r="AH225" s="1097" t="e">
        <f t="shared" si="261"/>
        <v>#DIV/0!</v>
      </c>
      <c r="AI225" s="1603">
        <v>80000000</v>
      </c>
      <c r="AJ225" s="1603">
        <f t="shared" si="291"/>
        <v>1500000</v>
      </c>
      <c r="AK225" s="894">
        <f t="shared" si="262"/>
        <v>1.8749999999999999E-2</v>
      </c>
      <c r="AL225" s="1615"/>
      <c r="AM225" s="1604"/>
      <c r="AN225" s="151" t="s">
        <v>302</v>
      </c>
      <c r="AO225" s="1898"/>
      <c r="AP225" s="98"/>
      <c r="AQ225" s="98"/>
    </row>
    <row r="226" spans="1:43" ht="76.5" x14ac:dyDescent="0.25">
      <c r="A226" s="269" t="s">
        <v>662</v>
      </c>
      <c r="B226" s="360" t="s">
        <v>834</v>
      </c>
      <c r="C226" s="388">
        <v>1</v>
      </c>
      <c r="D226" s="321">
        <v>1</v>
      </c>
      <c r="E226" s="1582">
        <v>1</v>
      </c>
      <c r="F226" s="558">
        <v>1</v>
      </c>
      <c r="G226" s="558"/>
      <c r="H226" s="598">
        <f t="shared" si="292"/>
        <v>1</v>
      </c>
      <c r="I226" s="1694">
        <f t="shared" si="295"/>
        <v>1</v>
      </c>
      <c r="J226" s="604" t="s">
        <v>1025</v>
      </c>
      <c r="K226" s="1088"/>
      <c r="L226" s="1583"/>
      <c r="M226" s="1584"/>
      <c r="N226" s="1085"/>
      <c r="O226" s="1090"/>
      <c r="P226" s="1090"/>
      <c r="Q226" s="1090"/>
      <c r="R226" s="1091"/>
      <c r="S226" s="1090"/>
      <c r="T226" s="235">
        <v>4</v>
      </c>
      <c r="U226" s="599">
        <f t="shared" si="294"/>
        <v>2</v>
      </c>
      <c r="V226" s="1684">
        <f t="shared" si="293"/>
        <v>0.5</v>
      </c>
      <c r="W226" s="424">
        <v>0.1</v>
      </c>
      <c r="X226" s="424">
        <v>0.1</v>
      </c>
      <c r="Y226" s="480">
        <v>9000000</v>
      </c>
      <c r="Z226" s="288">
        <v>0</v>
      </c>
      <c r="AA226" s="480">
        <v>900000</v>
      </c>
      <c r="AB226" s="1095">
        <f t="shared" si="255"/>
        <v>0.1</v>
      </c>
      <c r="AC226" s="480">
        <v>293564</v>
      </c>
      <c r="AD226" s="894">
        <f t="shared" si="260"/>
        <v>3.2618222222222222E-2</v>
      </c>
      <c r="AE226" s="1601">
        <f t="shared" si="290"/>
        <v>606436</v>
      </c>
      <c r="AF226" s="1569">
        <v>0</v>
      </c>
      <c r="AG226" s="288">
        <v>0</v>
      </c>
      <c r="AH226" s="1097" t="e">
        <f t="shared" si="261"/>
        <v>#DIV/0!</v>
      </c>
      <c r="AI226" s="1603">
        <v>80000000</v>
      </c>
      <c r="AJ226" s="1603">
        <f t="shared" si="291"/>
        <v>900000</v>
      </c>
      <c r="AK226" s="894">
        <f t="shared" si="262"/>
        <v>1.125E-2</v>
      </c>
      <c r="AL226" s="1615"/>
      <c r="AM226" s="1604"/>
      <c r="AN226" s="151" t="s">
        <v>302</v>
      </c>
      <c r="AO226" s="1796" t="s">
        <v>928</v>
      </c>
      <c r="AP226" s="98"/>
      <c r="AQ226" s="98"/>
    </row>
    <row r="227" spans="1:43" x14ac:dyDescent="0.25">
      <c r="A227" s="241" t="s">
        <v>497</v>
      </c>
      <c r="B227" s="140"/>
      <c r="C227" s="141"/>
      <c r="D227" s="187"/>
      <c r="E227" s="181"/>
      <c r="F227" s="141"/>
      <c r="G227" s="141"/>
      <c r="H227" s="142">
        <f>+SUMPRODUCT(H228:H228,W228:W228)</f>
        <v>1</v>
      </c>
      <c r="I227" s="1163">
        <f>+SUMPRODUCT(I228:I228,X228:X228)</f>
        <v>1</v>
      </c>
      <c r="J227" s="593"/>
      <c r="K227" s="571"/>
      <c r="L227" s="143"/>
      <c r="M227" s="144"/>
      <c r="N227" s="144"/>
      <c r="O227" s="172"/>
      <c r="P227" s="172"/>
      <c r="Q227" s="172"/>
      <c r="R227" s="158"/>
      <c r="S227" s="172"/>
      <c r="T227" s="193"/>
      <c r="U227" s="202"/>
      <c r="V227" s="165">
        <f>+SUMPRODUCT(V228:V228,W228:W228)</f>
        <v>0.5</v>
      </c>
      <c r="W227" s="142">
        <v>0.2</v>
      </c>
      <c r="X227" s="394">
        <v>0.2</v>
      </c>
      <c r="Y227" s="559">
        <f>SUM(Y228)</f>
        <v>45000000</v>
      </c>
      <c r="Z227" s="559">
        <f>SUM(Z228)</f>
        <v>51000000</v>
      </c>
      <c r="AA227" s="559">
        <f>SUM(AA228)</f>
        <v>43976413</v>
      </c>
      <c r="AB227" s="207">
        <f t="shared" si="255"/>
        <v>0.97725362222222223</v>
      </c>
      <c r="AC227" s="559">
        <f>SUM(AC228)</f>
        <v>41985317</v>
      </c>
      <c r="AD227" s="556">
        <f t="shared" si="260"/>
        <v>0.93300704444444449</v>
      </c>
      <c r="AE227" s="1229">
        <f>SUM(AE228)</f>
        <v>1991096</v>
      </c>
      <c r="AF227" s="144">
        <f>SUM(AF228)</f>
        <v>33000000</v>
      </c>
      <c r="AG227" s="559">
        <f>SUM(AG228)</f>
        <v>33000000</v>
      </c>
      <c r="AH227" s="505">
        <f t="shared" si="261"/>
        <v>1</v>
      </c>
      <c r="AI227" s="559">
        <f t="shared" ref="AI227:AJ227" si="296">SUM(AI228)</f>
        <v>320000000</v>
      </c>
      <c r="AJ227" s="559">
        <f t="shared" si="296"/>
        <v>94976413</v>
      </c>
      <c r="AK227" s="1227">
        <f t="shared" si="262"/>
        <v>0.29680129062499999</v>
      </c>
      <c r="AL227" s="166"/>
      <c r="AM227" s="159"/>
      <c r="AN227" s="482"/>
      <c r="AO227" s="1229"/>
      <c r="AP227" s="101"/>
      <c r="AQ227" s="101"/>
    </row>
    <row r="228" spans="1:43" ht="77.25" thickBot="1" x14ac:dyDescent="0.3">
      <c r="A228" s="606" t="s">
        <v>663</v>
      </c>
      <c r="B228" s="607" t="s">
        <v>835</v>
      </c>
      <c r="C228" s="704">
        <v>1</v>
      </c>
      <c r="D228" s="705">
        <v>1</v>
      </c>
      <c r="E228" s="668">
        <v>1</v>
      </c>
      <c r="F228" s="573">
        <v>1</v>
      </c>
      <c r="G228" s="573"/>
      <c r="H228" s="561">
        <f t="shared" ref="H228" si="297">IF((E228+G228)/C228&gt;=100%,100%,(E228+G228)/C228)</f>
        <v>1</v>
      </c>
      <c r="I228" s="1810">
        <f t="shared" ref="I228" si="298">IF(F228/D228&gt;=100%,100%,F228/D228)</f>
        <v>1</v>
      </c>
      <c r="J228" s="1811" t="s">
        <v>1026</v>
      </c>
      <c r="K228" s="569"/>
      <c r="L228" s="177"/>
      <c r="M228" s="178"/>
      <c r="N228" s="568"/>
      <c r="O228" s="173"/>
      <c r="P228" s="173"/>
      <c r="Q228" s="173"/>
      <c r="R228" s="574"/>
      <c r="S228" s="173"/>
      <c r="T228" s="706">
        <v>4</v>
      </c>
      <c r="U228" s="555">
        <f>SUM(E228:G228)</f>
        <v>2</v>
      </c>
      <c r="V228" s="575">
        <f t="shared" ref="V228" si="299">IF(U228/T228&gt;=100%,100%,U228/T228)</f>
        <v>0.5</v>
      </c>
      <c r="W228" s="670">
        <v>1</v>
      </c>
      <c r="X228" s="398">
        <v>1</v>
      </c>
      <c r="Y228" s="578">
        <v>45000000</v>
      </c>
      <c r="Z228" s="579">
        <v>51000000</v>
      </c>
      <c r="AA228" s="579">
        <v>43976413</v>
      </c>
      <c r="AB228" s="580">
        <f t="shared" si="255"/>
        <v>0.97725362222222223</v>
      </c>
      <c r="AC228" s="579">
        <v>41985317</v>
      </c>
      <c r="AD228" s="557">
        <f t="shared" si="260"/>
        <v>0.93300704444444449</v>
      </c>
      <c r="AE228" s="163">
        <f>+AA228-AC228</f>
        <v>1991096</v>
      </c>
      <c r="AF228" s="1570">
        <v>33000000</v>
      </c>
      <c r="AG228" s="579">
        <v>33000000</v>
      </c>
      <c r="AH228" s="581">
        <f t="shared" si="261"/>
        <v>1</v>
      </c>
      <c r="AI228" s="582">
        <v>320000000</v>
      </c>
      <c r="AJ228" s="582">
        <f t="shared" si="291"/>
        <v>94976413</v>
      </c>
      <c r="AK228" s="894">
        <f t="shared" si="262"/>
        <v>0.29680129062499999</v>
      </c>
      <c r="AL228" s="162"/>
      <c r="AM228" s="162"/>
      <c r="AN228" s="589" t="s">
        <v>302</v>
      </c>
      <c r="AO228" s="1797" t="s">
        <v>928</v>
      </c>
      <c r="AP228" s="594"/>
      <c r="AQ228" s="594"/>
    </row>
    <row r="229" spans="1:43" ht="51.75" thickBot="1" x14ac:dyDescent="0.3">
      <c r="A229" s="628" t="s">
        <v>445</v>
      </c>
      <c r="B229" s="629"/>
      <c r="C229" s="630"/>
      <c r="D229" s="631"/>
      <c r="E229" s="632"/>
      <c r="F229" s="630"/>
      <c r="G229" s="630"/>
      <c r="H229" s="633">
        <f>+(H230*0%)+(H234*100%)</f>
        <v>1</v>
      </c>
      <c r="I229" s="644">
        <f>+(I230*X230)+(I234*X234)</f>
        <v>0.83200000000000007</v>
      </c>
      <c r="J229" s="634"/>
      <c r="K229" s="635"/>
      <c r="L229" s="636"/>
      <c r="M229" s="637"/>
      <c r="N229" s="637"/>
      <c r="O229" s="638"/>
      <c r="P229" s="638"/>
      <c r="Q229" s="638"/>
      <c r="R229" s="639"/>
      <c r="S229" s="638"/>
      <c r="T229" s="640"/>
      <c r="U229" s="641"/>
      <c r="V229" s="680">
        <f>+(V230*W30)+(V234*W234)</f>
        <v>0.55199999999999994</v>
      </c>
      <c r="W229" s="646">
        <v>0.1</v>
      </c>
      <c r="X229" s="657">
        <v>0.1</v>
      </c>
      <c r="Y229" s="642">
        <f>+Y230+Y234</f>
        <v>1300000000</v>
      </c>
      <c r="Z229" s="642">
        <f>+Z230+Z234</f>
        <v>1216381367</v>
      </c>
      <c r="AA229" s="642">
        <f>+AA230+AA234</f>
        <v>1068130934</v>
      </c>
      <c r="AB229" s="643">
        <f t="shared" si="255"/>
        <v>0.82163918000000002</v>
      </c>
      <c r="AC229" s="642">
        <f>+AC230+AC234</f>
        <v>924899955</v>
      </c>
      <c r="AD229" s="644">
        <f t="shared" si="260"/>
        <v>0.71146150384615381</v>
      </c>
      <c r="AE229" s="629">
        <f>+AE230+AE234</f>
        <v>143230979</v>
      </c>
      <c r="AF229" s="637">
        <f>+AF230+AF234</f>
        <v>1154381367</v>
      </c>
      <c r="AG229" s="642">
        <f>+AG230+AG234</f>
        <v>1144381367</v>
      </c>
      <c r="AH229" s="699">
        <f t="shared" si="261"/>
        <v>0.99133735151496083</v>
      </c>
      <c r="AI229" s="642">
        <f t="shared" ref="AI229" si="300">+AI230+AI234</f>
        <v>5700000000</v>
      </c>
      <c r="AJ229" s="642">
        <f>+AJ230+AJ234</f>
        <v>2284512301</v>
      </c>
      <c r="AK229" s="1635">
        <f t="shared" si="262"/>
        <v>0.40079163175438598</v>
      </c>
      <c r="AL229" s="636"/>
      <c r="AM229" s="636" t="s">
        <v>301</v>
      </c>
      <c r="AN229" s="637"/>
      <c r="AO229" s="629"/>
      <c r="AP229" s="691"/>
      <c r="AQ229" s="691"/>
    </row>
    <row r="230" spans="1:43" x14ac:dyDescent="0.25">
      <c r="A230" s="252" t="s">
        <v>498</v>
      </c>
      <c r="B230" s="344"/>
      <c r="C230" s="611"/>
      <c r="D230" s="612"/>
      <c r="E230" s="613"/>
      <c r="F230" s="611"/>
      <c r="G230" s="611"/>
      <c r="H230" s="220">
        <v>0</v>
      </c>
      <c r="I230" s="1162">
        <f>+SUMPRODUCT(I231:I233,X231:X233)</f>
        <v>0.4</v>
      </c>
      <c r="J230" s="1164"/>
      <c r="K230" s="615"/>
      <c r="L230" s="196"/>
      <c r="M230" s="590"/>
      <c r="N230" s="590"/>
      <c r="O230" s="616"/>
      <c r="P230" s="616"/>
      <c r="Q230" s="616"/>
      <c r="R230" s="617"/>
      <c r="S230" s="616"/>
      <c r="T230" s="618"/>
      <c r="U230" s="202"/>
      <c r="V230" s="656">
        <f>+SUMPRODUCT(V231:V233,W231:W233)</f>
        <v>0.13333333333333333</v>
      </c>
      <c r="W230" s="220">
        <v>0.2</v>
      </c>
      <c r="X230" s="619">
        <v>0.2</v>
      </c>
      <c r="Y230" s="620">
        <f>SUM(Y231:Y233)</f>
        <v>140000000</v>
      </c>
      <c r="Z230" s="620">
        <f>SUM(Z231:Z233)</f>
        <v>0</v>
      </c>
      <c r="AA230" s="620">
        <f>SUM(AA231:AA233)</f>
        <v>12626203</v>
      </c>
      <c r="AB230" s="621">
        <f t="shared" si="255"/>
        <v>9.0187164285714286E-2</v>
      </c>
      <c r="AC230" s="620">
        <f>SUM(AC231:AC233)</f>
        <v>4098282</v>
      </c>
      <c r="AD230" s="1696">
        <f t="shared" si="260"/>
        <v>2.9273442857142857E-2</v>
      </c>
      <c r="AE230" s="1518">
        <f>SUM(AE231:AE233)</f>
        <v>8527921</v>
      </c>
      <c r="AF230" s="590">
        <f>SUM(AF231:AF233)</f>
        <v>0</v>
      </c>
      <c r="AG230" s="620">
        <f>SUM(AG231:AG233)</f>
        <v>0</v>
      </c>
      <c r="AH230" s="505" t="e">
        <f t="shared" si="261"/>
        <v>#DIV/0!</v>
      </c>
      <c r="AI230" s="620">
        <f t="shared" ref="AI230" si="301">SUM(AI231:AI233)</f>
        <v>450000000</v>
      </c>
      <c r="AJ230" s="620">
        <f>SUM(AJ231:AJ233)</f>
        <v>12626203</v>
      </c>
      <c r="AK230" s="1696">
        <f t="shared" si="262"/>
        <v>2.8058228888888891E-2</v>
      </c>
      <c r="AL230" s="624"/>
      <c r="AM230" s="625"/>
      <c r="AN230" s="626"/>
      <c r="AO230" s="1518"/>
      <c r="AP230" s="627"/>
      <c r="AQ230" s="627"/>
    </row>
    <row r="231" spans="1:43" ht="89.25" x14ac:dyDescent="0.25">
      <c r="A231" s="269" t="s">
        <v>664</v>
      </c>
      <c r="B231" s="360" t="s">
        <v>836</v>
      </c>
      <c r="C231" s="389">
        <v>0</v>
      </c>
      <c r="D231" s="186">
        <v>1</v>
      </c>
      <c r="E231" s="296">
        <v>0</v>
      </c>
      <c r="F231" s="558">
        <v>1</v>
      </c>
      <c r="G231" s="558"/>
      <c r="H231" s="598" t="e">
        <f t="shared" ref="H231:H233" si="302">IF((E231+G231)/C231&gt;=100%,100%,(E231+G231)/C231)</f>
        <v>#DIV/0!</v>
      </c>
      <c r="I231" s="1694">
        <f t="shared" ref="I231:I233" si="303">IF(F231/D231&gt;=100%,100%,F231/D231)</f>
        <v>1</v>
      </c>
      <c r="J231" s="604" t="s">
        <v>1027</v>
      </c>
      <c r="K231" s="1088"/>
      <c r="L231" s="1583"/>
      <c r="M231" s="1584"/>
      <c r="N231" s="1085"/>
      <c r="O231" s="1090"/>
      <c r="P231" s="1090"/>
      <c r="Q231" s="1090"/>
      <c r="R231" s="1091"/>
      <c r="S231" s="1090"/>
      <c r="T231" s="1691">
        <v>3</v>
      </c>
      <c r="U231" s="599">
        <f>SUM(E231:G231)</f>
        <v>1</v>
      </c>
      <c r="V231" s="1684">
        <f t="shared" ref="V231:V233" si="304">IF(U231/T231&gt;=100%,100%,U231/T231)</f>
        <v>0.33333333333333331</v>
      </c>
      <c r="W231" s="424">
        <v>0.4</v>
      </c>
      <c r="X231" s="424">
        <v>0.4</v>
      </c>
      <c r="Y231" s="512">
        <v>50000000</v>
      </c>
      <c r="Z231" s="289">
        <v>0</v>
      </c>
      <c r="AA231" s="512">
        <v>4156650</v>
      </c>
      <c r="AB231" s="1095">
        <f t="shared" si="255"/>
        <v>8.3132999999999999E-2</v>
      </c>
      <c r="AC231" s="512">
        <v>1343991</v>
      </c>
      <c r="AD231" s="894">
        <f t="shared" si="260"/>
        <v>2.6879819999999999E-2</v>
      </c>
      <c r="AE231" s="1601">
        <f>+AA231-AC231</f>
        <v>2812659</v>
      </c>
      <c r="AF231" s="1571">
        <v>0</v>
      </c>
      <c r="AG231" s="289">
        <v>0</v>
      </c>
      <c r="AH231" s="1097" t="e">
        <f t="shared" si="261"/>
        <v>#DIV/0!</v>
      </c>
      <c r="AI231" s="1603">
        <f>450000000/3</f>
        <v>150000000</v>
      </c>
      <c r="AJ231" s="1603">
        <f t="shared" ref="AJ231:AJ238" si="305">+SUM(Z231:AA231)</f>
        <v>4156650</v>
      </c>
      <c r="AK231" s="894">
        <f t="shared" si="262"/>
        <v>2.7711E-2</v>
      </c>
      <c r="AL231" s="1615"/>
      <c r="AM231" s="1604"/>
      <c r="AN231" s="151" t="s">
        <v>302</v>
      </c>
      <c r="AO231" s="1796" t="s">
        <v>895</v>
      </c>
      <c r="AP231" s="98"/>
      <c r="AQ231" s="98"/>
    </row>
    <row r="232" spans="1:43" ht="38.25" x14ac:dyDescent="0.25">
      <c r="A232" s="269" t="s">
        <v>665</v>
      </c>
      <c r="B232" s="360" t="s">
        <v>837</v>
      </c>
      <c r="C232" s="389">
        <v>0</v>
      </c>
      <c r="D232" s="237">
        <v>1</v>
      </c>
      <c r="E232" s="297">
        <v>0</v>
      </c>
      <c r="F232" s="558">
        <v>0</v>
      </c>
      <c r="G232" s="558"/>
      <c r="H232" s="598" t="e">
        <f t="shared" si="302"/>
        <v>#DIV/0!</v>
      </c>
      <c r="I232" s="1694">
        <f t="shared" si="303"/>
        <v>0</v>
      </c>
      <c r="J232" s="604" t="s">
        <v>1028</v>
      </c>
      <c r="K232" s="1088"/>
      <c r="L232" s="1583"/>
      <c r="M232" s="1584"/>
      <c r="N232" s="1085"/>
      <c r="O232" s="1090"/>
      <c r="P232" s="1090"/>
      <c r="Q232" s="1090"/>
      <c r="R232" s="1091"/>
      <c r="S232" s="1090"/>
      <c r="T232" s="1691">
        <v>2</v>
      </c>
      <c r="U232" s="599">
        <f t="shared" ref="U232:U238" si="306">SUM(E232:G232)</f>
        <v>0</v>
      </c>
      <c r="V232" s="1684">
        <f t="shared" si="304"/>
        <v>0</v>
      </c>
      <c r="W232" s="424">
        <v>0.3</v>
      </c>
      <c r="X232" s="424">
        <v>0.3</v>
      </c>
      <c r="Y232" s="512">
        <v>50000000</v>
      </c>
      <c r="Z232" s="289">
        <v>0</v>
      </c>
      <c r="AA232" s="512">
        <v>4156650</v>
      </c>
      <c r="AB232" s="1095">
        <f t="shared" si="255"/>
        <v>8.3132999999999999E-2</v>
      </c>
      <c r="AC232" s="512">
        <v>1343991</v>
      </c>
      <c r="AD232" s="894">
        <f t="shared" si="260"/>
        <v>2.6879819999999999E-2</v>
      </c>
      <c r="AE232" s="1601">
        <f>+AA232-AC232</f>
        <v>2812659</v>
      </c>
      <c r="AF232" s="1571">
        <v>0</v>
      </c>
      <c r="AG232" s="289">
        <v>0</v>
      </c>
      <c r="AH232" s="1097" t="e">
        <f t="shared" si="261"/>
        <v>#DIV/0!</v>
      </c>
      <c r="AI232" s="1603">
        <f t="shared" ref="AI232:AI233" si="307">450000000/3</f>
        <v>150000000</v>
      </c>
      <c r="AJ232" s="1603">
        <f t="shared" si="305"/>
        <v>4156650</v>
      </c>
      <c r="AK232" s="894">
        <f t="shared" si="262"/>
        <v>2.7711E-2</v>
      </c>
      <c r="AL232" s="1615"/>
      <c r="AM232" s="1604"/>
      <c r="AN232" s="151" t="s">
        <v>302</v>
      </c>
      <c r="AO232" s="1796" t="s">
        <v>895</v>
      </c>
      <c r="AP232" s="98"/>
      <c r="AQ232" s="98"/>
    </row>
    <row r="233" spans="1:43" ht="90" x14ac:dyDescent="0.25">
      <c r="A233" s="269" t="s">
        <v>666</v>
      </c>
      <c r="B233" s="360" t="s">
        <v>838</v>
      </c>
      <c r="C233" s="389">
        <v>0</v>
      </c>
      <c r="D233" s="186">
        <v>0.1</v>
      </c>
      <c r="E233" s="296">
        <v>0</v>
      </c>
      <c r="F233" s="558">
        <v>0</v>
      </c>
      <c r="G233" s="558"/>
      <c r="H233" s="598" t="e">
        <f t="shared" si="302"/>
        <v>#DIV/0!</v>
      </c>
      <c r="I233" s="1694">
        <f t="shared" si="303"/>
        <v>0</v>
      </c>
      <c r="J233" s="1716" t="s">
        <v>1475</v>
      </c>
      <c r="K233" s="1088"/>
      <c r="L233" s="1583"/>
      <c r="M233" s="1584"/>
      <c r="N233" s="1085"/>
      <c r="O233" s="1090"/>
      <c r="P233" s="1090"/>
      <c r="Q233" s="1090"/>
      <c r="R233" s="1091"/>
      <c r="S233" s="1090"/>
      <c r="T233" s="1691">
        <v>3</v>
      </c>
      <c r="U233" s="599">
        <f t="shared" si="306"/>
        <v>0</v>
      </c>
      <c r="V233" s="1684">
        <f t="shared" si="304"/>
        <v>0</v>
      </c>
      <c r="W233" s="424">
        <v>0.3</v>
      </c>
      <c r="X233" s="424">
        <v>0.3</v>
      </c>
      <c r="Y233" s="481">
        <v>40000000</v>
      </c>
      <c r="Z233" s="289">
        <v>0</v>
      </c>
      <c r="AA233" s="512">
        <v>4312903</v>
      </c>
      <c r="AB233" s="1095">
        <f t="shared" si="255"/>
        <v>0.107822575</v>
      </c>
      <c r="AC233" s="512">
        <v>1410300</v>
      </c>
      <c r="AD233" s="894">
        <f t="shared" si="260"/>
        <v>3.5257499999999997E-2</v>
      </c>
      <c r="AE233" s="1601">
        <f>+AA233-AC233</f>
        <v>2902603</v>
      </c>
      <c r="AF233" s="1571">
        <v>0</v>
      </c>
      <c r="AG233" s="289">
        <v>0</v>
      </c>
      <c r="AH233" s="1097" t="e">
        <f t="shared" si="261"/>
        <v>#DIV/0!</v>
      </c>
      <c r="AI233" s="1603">
        <f t="shared" si="307"/>
        <v>150000000</v>
      </c>
      <c r="AJ233" s="1603">
        <f t="shared" si="305"/>
        <v>4312903</v>
      </c>
      <c r="AK233" s="894">
        <f t="shared" si="262"/>
        <v>2.8752686666666666E-2</v>
      </c>
      <c r="AL233" s="1615"/>
      <c r="AM233" s="1604"/>
      <c r="AN233" s="151" t="s">
        <v>302</v>
      </c>
      <c r="AO233" s="1796" t="s">
        <v>895</v>
      </c>
      <c r="AP233" s="98"/>
      <c r="AQ233" s="98"/>
    </row>
    <row r="234" spans="1:43" x14ac:dyDescent="0.25">
      <c r="A234" s="241" t="s">
        <v>499</v>
      </c>
      <c r="B234" s="140"/>
      <c r="C234" s="141"/>
      <c r="D234" s="187"/>
      <c r="E234" s="181"/>
      <c r="F234" s="141"/>
      <c r="G234" s="141"/>
      <c r="H234" s="142">
        <f>+SUMPRODUCT(H235:H238,W235:W238)</f>
        <v>1</v>
      </c>
      <c r="I234" s="1163">
        <f>+SUMPRODUCT(I235:I238,X235:X238)</f>
        <v>0.94000000000000006</v>
      </c>
      <c r="J234" s="593"/>
      <c r="K234" s="571"/>
      <c r="L234" s="143"/>
      <c r="M234" s="144"/>
      <c r="N234" s="144"/>
      <c r="O234" s="172"/>
      <c r="P234" s="172"/>
      <c r="Q234" s="172"/>
      <c r="R234" s="158"/>
      <c r="S234" s="172"/>
      <c r="T234" s="193"/>
      <c r="U234" s="201"/>
      <c r="V234" s="165">
        <f>+SUMPRODUCT(V235:V238,W235:W238)</f>
        <v>0.65666666666666662</v>
      </c>
      <c r="W234" s="142">
        <v>0.8</v>
      </c>
      <c r="X234" s="394">
        <v>0.8</v>
      </c>
      <c r="Y234" s="559">
        <f>SUM(Y235:Y238)</f>
        <v>1160000000</v>
      </c>
      <c r="Z234" s="559">
        <f>SUM(Z235:Z238)</f>
        <v>1216381367</v>
      </c>
      <c r="AA234" s="559">
        <f>SUM(AA235:AA238)</f>
        <v>1055504731</v>
      </c>
      <c r="AB234" s="207">
        <f t="shared" si="255"/>
        <v>0.9099178715517241</v>
      </c>
      <c r="AC234" s="559">
        <f>SUM(AC235:AC238)</f>
        <v>920801673</v>
      </c>
      <c r="AD234" s="556">
        <f t="shared" si="260"/>
        <v>0.79379454568965513</v>
      </c>
      <c r="AE234" s="1229">
        <f>SUM(AE235:AE238)</f>
        <v>134703058</v>
      </c>
      <c r="AF234" s="144">
        <f>SUM(AF235:AF238)</f>
        <v>1154381367</v>
      </c>
      <c r="AG234" s="559">
        <f>SUM(AG235:AG238)</f>
        <v>1144381367</v>
      </c>
      <c r="AH234" s="505">
        <f t="shared" si="261"/>
        <v>0.99133735151496083</v>
      </c>
      <c r="AI234" s="559">
        <f>SUM(AI235:AI238)</f>
        <v>5250000000</v>
      </c>
      <c r="AJ234" s="559">
        <f>SUM(AJ235:AJ238)</f>
        <v>2271886098</v>
      </c>
      <c r="AK234" s="1227">
        <f t="shared" si="262"/>
        <v>0.43274020914285716</v>
      </c>
      <c r="AL234" s="166"/>
      <c r="AM234" s="159"/>
      <c r="AN234" s="482"/>
      <c r="AO234" s="1229"/>
      <c r="AP234" s="101"/>
      <c r="AQ234" s="101"/>
    </row>
    <row r="235" spans="1:43" ht="89.25" x14ac:dyDescent="0.25">
      <c r="A235" s="268" t="s">
        <v>667</v>
      </c>
      <c r="B235" s="359" t="s">
        <v>839</v>
      </c>
      <c r="C235" s="387">
        <v>0.5</v>
      </c>
      <c r="D235" s="320">
        <v>0.4</v>
      </c>
      <c r="E235" s="234">
        <v>0.5</v>
      </c>
      <c r="F235" s="600">
        <v>0.4</v>
      </c>
      <c r="G235" s="558"/>
      <c r="H235" s="598">
        <f t="shared" ref="H235:H238" si="308">IF((E235+G235)/C235&gt;=100%,100%,(E235+G235)/C235)</f>
        <v>1</v>
      </c>
      <c r="I235" s="1694">
        <f t="shared" ref="I235:I237" si="309">IF(F235/D235&gt;=100%,100%,F235/D235)</f>
        <v>1</v>
      </c>
      <c r="J235" s="1099" t="s">
        <v>1108</v>
      </c>
      <c r="K235" s="1088"/>
      <c r="L235" s="1583"/>
      <c r="M235" s="1584"/>
      <c r="N235" s="1085"/>
      <c r="O235" s="1090"/>
      <c r="P235" s="1090"/>
      <c r="Q235" s="1090"/>
      <c r="R235" s="1091"/>
      <c r="S235" s="1090"/>
      <c r="T235" s="703">
        <v>1</v>
      </c>
      <c r="U235" s="1698">
        <f t="shared" si="306"/>
        <v>0.9</v>
      </c>
      <c r="V235" s="1684">
        <f t="shared" ref="V235:V238" si="310">IF(U235/T235&gt;=100%,100%,U235/T235)</f>
        <v>0.9</v>
      </c>
      <c r="W235" s="1699">
        <v>0.35</v>
      </c>
      <c r="X235" s="1093">
        <v>0.4</v>
      </c>
      <c r="Y235" s="479">
        <v>600000000</v>
      </c>
      <c r="Z235" s="287">
        <v>649891449</v>
      </c>
      <c r="AA235" s="479">
        <v>548728092</v>
      </c>
      <c r="AB235" s="1095">
        <f t="shared" si="255"/>
        <v>0.91454681999999998</v>
      </c>
      <c r="AC235" s="479">
        <v>502151646</v>
      </c>
      <c r="AD235" s="1104">
        <f t="shared" si="260"/>
        <v>0.83691941000000003</v>
      </c>
      <c r="AE235" s="1601">
        <f>+AA235-AC235</f>
        <v>46576446</v>
      </c>
      <c r="AF235" s="1567">
        <v>649891449</v>
      </c>
      <c r="AG235" s="287">
        <v>649891449</v>
      </c>
      <c r="AH235" s="1097">
        <f t="shared" si="261"/>
        <v>1</v>
      </c>
      <c r="AI235" s="1603">
        <v>1800000000</v>
      </c>
      <c r="AJ235" s="1603">
        <f t="shared" si="305"/>
        <v>1198619541</v>
      </c>
      <c r="AK235" s="1104">
        <f t="shared" si="262"/>
        <v>0.66589974500000004</v>
      </c>
      <c r="AL235" s="1615"/>
      <c r="AM235" s="1604"/>
      <c r="AN235" s="151" t="s">
        <v>302</v>
      </c>
      <c r="AO235" s="1896" t="s">
        <v>895</v>
      </c>
      <c r="AP235" s="98"/>
      <c r="AQ235" s="98"/>
    </row>
    <row r="236" spans="1:43" ht="76.5" x14ac:dyDescent="0.25">
      <c r="A236" s="268" t="s">
        <v>668</v>
      </c>
      <c r="B236" s="359" t="s">
        <v>840</v>
      </c>
      <c r="C236" s="387">
        <v>0.1</v>
      </c>
      <c r="D236" s="320">
        <v>0.2</v>
      </c>
      <c r="E236" s="234">
        <v>0.1</v>
      </c>
      <c r="F236" s="600">
        <v>0.2</v>
      </c>
      <c r="G236" s="558"/>
      <c r="H236" s="598">
        <f t="shared" si="308"/>
        <v>1</v>
      </c>
      <c r="I236" s="1694">
        <f t="shared" si="309"/>
        <v>1</v>
      </c>
      <c r="J236" s="604" t="s">
        <v>1100</v>
      </c>
      <c r="K236" s="1088"/>
      <c r="L236" s="1583"/>
      <c r="M236" s="1584"/>
      <c r="N236" s="1085"/>
      <c r="O236" s="1090"/>
      <c r="P236" s="1090"/>
      <c r="Q236" s="1090"/>
      <c r="R236" s="1091"/>
      <c r="S236" s="1090"/>
      <c r="T236" s="234">
        <v>0.90000000000000013</v>
      </c>
      <c r="U236" s="599">
        <f t="shared" si="306"/>
        <v>0.30000000000000004</v>
      </c>
      <c r="V236" s="1684">
        <f t="shared" si="310"/>
        <v>0.33333333333333331</v>
      </c>
      <c r="W236" s="1699">
        <v>0.35</v>
      </c>
      <c r="X236" s="1093">
        <v>0.4</v>
      </c>
      <c r="Y236" s="479">
        <v>180000000</v>
      </c>
      <c r="Z236" s="287">
        <v>164237276</v>
      </c>
      <c r="AA236" s="479">
        <v>153603288</v>
      </c>
      <c r="AB236" s="1095">
        <f t="shared" si="255"/>
        <v>0.85335159999999999</v>
      </c>
      <c r="AC236" s="479">
        <v>136048810</v>
      </c>
      <c r="AD236" s="1104">
        <f t="shared" si="260"/>
        <v>0.75582672222222225</v>
      </c>
      <c r="AE236" s="1601">
        <f>+AA236-AC236</f>
        <v>17554478</v>
      </c>
      <c r="AF236" s="1567">
        <v>164237276</v>
      </c>
      <c r="AG236" s="287">
        <v>164237276</v>
      </c>
      <c r="AH236" s="1097">
        <f t="shared" si="261"/>
        <v>1</v>
      </c>
      <c r="AI236" s="1603">
        <v>1600000000</v>
      </c>
      <c r="AJ236" s="1603">
        <f t="shared" si="305"/>
        <v>317840564</v>
      </c>
      <c r="AK236" s="894">
        <f t="shared" si="262"/>
        <v>0.19865035249999999</v>
      </c>
      <c r="AL236" s="1615"/>
      <c r="AM236" s="1604"/>
      <c r="AN236" s="151" t="s">
        <v>302</v>
      </c>
      <c r="AO236" s="1897"/>
      <c r="AP236" s="98"/>
      <c r="AQ236" s="98"/>
    </row>
    <row r="237" spans="1:43" ht="102" x14ac:dyDescent="0.25">
      <c r="A237" s="268" t="s">
        <v>669</v>
      </c>
      <c r="B237" s="359" t="s">
        <v>841</v>
      </c>
      <c r="C237" s="387">
        <v>1</v>
      </c>
      <c r="D237" s="320">
        <v>1</v>
      </c>
      <c r="E237" s="234">
        <v>1</v>
      </c>
      <c r="F237" s="600">
        <v>0.7</v>
      </c>
      <c r="G237" s="558"/>
      <c r="H237" s="598">
        <f t="shared" si="308"/>
        <v>1</v>
      </c>
      <c r="I237" s="1694">
        <f t="shared" si="309"/>
        <v>0.7</v>
      </c>
      <c r="J237" s="604" t="s">
        <v>1029</v>
      </c>
      <c r="K237" s="1088"/>
      <c r="L237" s="1583"/>
      <c r="M237" s="1584"/>
      <c r="N237" s="1085"/>
      <c r="O237" s="1090"/>
      <c r="P237" s="1090"/>
      <c r="Q237" s="1090"/>
      <c r="R237" s="1091"/>
      <c r="S237" s="1090"/>
      <c r="T237" s="234">
        <v>1</v>
      </c>
      <c r="U237" s="599">
        <f t="shared" si="306"/>
        <v>1.7</v>
      </c>
      <c r="V237" s="1684">
        <f t="shared" si="310"/>
        <v>1</v>
      </c>
      <c r="W237" s="1699">
        <v>0.15</v>
      </c>
      <c r="X237" s="1093">
        <v>0.2</v>
      </c>
      <c r="Y237" s="509">
        <v>200000000</v>
      </c>
      <c r="Z237" s="287">
        <v>250000000</v>
      </c>
      <c r="AA237" s="479">
        <v>176232968</v>
      </c>
      <c r="AB237" s="1095">
        <f t="shared" si="255"/>
        <v>0.88116483999999995</v>
      </c>
      <c r="AC237" s="479">
        <v>153874652</v>
      </c>
      <c r="AD237" s="1104">
        <f t="shared" si="260"/>
        <v>0.76937325999999995</v>
      </c>
      <c r="AE237" s="1601">
        <f>+AA237-AC237</f>
        <v>22358316</v>
      </c>
      <c r="AF237" s="1567">
        <v>250000000</v>
      </c>
      <c r="AG237" s="287">
        <v>250000000</v>
      </c>
      <c r="AH237" s="1097">
        <f t="shared" si="261"/>
        <v>1</v>
      </c>
      <c r="AI237" s="1602">
        <v>925000000</v>
      </c>
      <c r="AJ237" s="1603">
        <f t="shared" si="305"/>
        <v>426232968</v>
      </c>
      <c r="AK237" s="894">
        <f t="shared" si="262"/>
        <v>0.46079239783783782</v>
      </c>
      <c r="AL237" s="1615"/>
      <c r="AM237" s="1604"/>
      <c r="AN237" s="151" t="s">
        <v>302</v>
      </c>
      <c r="AO237" s="1898"/>
      <c r="AP237" s="98"/>
      <c r="AQ237" s="98"/>
    </row>
    <row r="238" spans="1:43" ht="39" thickBot="1" x14ac:dyDescent="0.3">
      <c r="A238" s="271" t="s">
        <v>670</v>
      </c>
      <c r="B238" s="647" t="s">
        <v>842</v>
      </c>
      <c r="C238" s="681">
        <v>1</v>
      </c>
      <c r="D238" s="682">
        <v>0</v>
      </c>
      <c r="E238" s="683">
        <v>1</v>
      </c>
      <c r="F238" s="908">
        <v>0</v>
      </c>
      <c r="G238" s="908"/>
      <c r="H238" s="894">
        <f t="shared" si="308"/>
        <v>1</v>
      </c>
      <c r="I238" s="1812">
        <v>0</v>
      </c>
      <c r="J238" s="604"/>
      <c r="K238" s="1088"/>
      <c r="L238" s="1641"/>
      <c r="M238" s="1642"/>
      <c r="N238" s="1640"/>
      <c r="O238" s="1090"/>
      <c r="P238" s="1090"/>
      <c r="Q238" s="1090"/>
      <c r="R238" s="1643"/>
      <c r="S238" s="1090"/>
      <c r="T238" s="683">
        <v>2</v>
      </c>
      <c r="U238" s="935">
        <f t="shared" si="306"/>
        <v>1</v>
      </c>
      <c r="V238" s="1679">
        <f t="shared" si="310"/>
        <v>0.5</v>
      </c>
      <c r="W238" s="1654">
        <v>0.15</v>
      </c>
      <c r="X238" s="1655">
        <v>0</v>
      </c>
      <c r="Y238" s="578">
        <v>180000000</v>
      </c>
      <c r="Z238" s="655">
        <v>152252642</v>
      </c>
      <c r="AA238" s="654">
        <v>176940383</v>
      </c>
      <c r="AB238" s="1610">
        <f t="shared" si="255"/>
        <v>0.98300212777777773</v>
      </c>
      <c r="AC238" s="654">
        <v>128726565</v>
      </c>
      <c r="AD238" s="1104">
        <f t="shared" si="260"/>
        <v>0.71514758333333328</v>
      </c>
      <c r="AE238" s="1611">
        <f>+AA238-AC238</f>
        <v>48213818</v>
      </c>
      <c r="AF238" s="1568">
        <v>90252642</v>
      </c>
      <c r="AG238" s="655">
        <v>80252642</v>
      </c>
      <c r="AH238" s="1612">
        <f t="shared" si="261"/>
        <v>0.88919991948822952</v>
      </c>
      <c r="AI238" s="1613">
        <v>925000000</v>
      </c>
      <c r="AJ238" s="1614">
        <f t="shared" si="305"/>
        <v>329193025</v>
      </c>
      <c r="AK238" s="894">
        <f>+AJ238/AI238</f>
        <v>0.35588435135135132</v>
      </c>
      <c r="AL238" s="1615"/>
      <c r="AM238" s="1615"/>
      <c r="AN238" s="589" t="s">
        <v>302</v>
      </c>
      <c r="AO238" s="1795" t="s">
        <v>895</v>
      </c>
      <c r="AP238" s="594"/>
      <c r="AQ238" s="594"/>
    </row>
    <row r="239" spans="1:43" ht="51.75" thickBot="1" x14ac:dyDescent="0.3">
      <c r="A239" s="628" t="s">
        <v>446</v>
      </c>
      <c r="B239" s="629"/>
      <c r="C239" s="630"/>
      <c r="D239" s="631"/>
      <c r="E239" s="632"/>
      <c r="F239" s="630"/>
      <c r="G239" s="630"/>
      <c r="H239" s="633">
        <f>+(H240*W240)</f>
        <v>1</v>
      </c>
      <c r="I239" s="1813">
        <f>+(I240*X240)</f>
        <v>1</v>
      </c>
      <c r="J239" s="634"/>
      <c r="K239" s="635"/>
      <c r="L239" s="636"/>
      <c r="M239" s="637"/>
      <c r="N239" s="637"/>
      <c r="O239" s="638"/>
      <c r="P239" s="638"/>
      <c r="Q239" s="638"/>
      <c r="R239" s="639"/>
      <c r="S239" s="638"/>
      <c r="T239" s="640"/>
      <c r="U239" s="641"/>
      <c r="V239" s="680">
        <f>+(V240*W240)</f>
        <v>0.58472222222222225</v>
      </c>
      <c r="W239" s="646">
        <v>0.1</v>
      </c>
      <c r="X239" s="657">
        <v>0.1</v>
      </c>
      <c r="Y239" s="642">
        <f>+Y240</f>
        <v>420000000</v>
      </c>
      <c r="Z239" s="642">
        <f>+Z240</f>
        <v>313482364.75</v>
      </c>
      <c r="AA239" s="642">
        <f>+AA240</f>
        <v>412454675.72000003</v>
      </c>
      <c r="AB239" s="643">
        <f t="shared" si="255"/>
        <v>0.98203494219047627</v>
      </c>
      <c r="AC239" s="642">
        <f>+AC240</f>
        <v>378268839.72000003</v>
      </c>
      <c r="AD239" s="701">
        <f t="shared" si="260"/>
        <v>0.90064009457142868</v>
      </c>
      <c r="AE239" s="629">
        <f>+AE240</f>
        <v>34185836.000000015</v>
      </c>
      <c r="AF239" s="1572">
        <f>+AF240</f>
        <v>44190909.75</v>
      </c>
      <c r="AG239" s="642">
        <f>+AG240</f>
        <v>38890909.25</v>
      </c>
      <c r="AH239" s="699">
        <f t="shared" si="261"/>
        <v>0.88006582055034521</v>
      </c>
      <c r="AI239" s="642">
        <f t="shared" ref="AI239" si="311">+AI240</f>
        <v>2000000000</v>
      </c>
      <c r="AJ239" s="642">
        <f>+AJ240</f>
        <v>725937040.47000003</v>
      </c>
      <c r="AK239" s="646">
        <f t="shared" si="262"/>
        <v>0.36296852023500004</v>
      </c>
      <c r="AL239" s="636"/>
      <c r="AM239" s="636" t="s">
        <v>301</v>
      </c>
      <c r="AN239" s="637"/>
      <c r="AO239" s="629"/>
      <c r="AP239" s="691"/>
      <c r="AQ239" s="691"/>
    </row>
    <row r="240" spans="1:43" x14ac:dyDescent="0.25">
      <c r="A240" s="252" t="s">
        <v>500</v>
      </c>
      <c r="B240" s="344"/>
      <c r="C240" s="611"/>
      <c r="D240" s="612"/>
      <c r="E240" s="613"/>
      <c r="F240" s="611"/>
      <c r="G240" s="611"/>
      <c r="H240" s="220">
        <f>+SUMPRODUCT(H241:H244,W241:W244)</f>
        <v>1</v>
      </c>
      <c r="I240" s="622">
        <f>+SUMPRODUCT(I241:I244,X241:X244)</f>
        <v>1</v>
      </c>
      <c r="J240" s="614"/>
      <c r="K240" s="615"/>
      <c r="L240" s="196"/>
      <c r="M240" s="590"/>
      <c r="N240" s="590"/>
      <c r="O240" s="616"/>
      <c r="P240" s="616"/>
      <c r="Q240" s="616"/>
      <c r="R240" s="617"/>
      <c r="S240" s="616"/>
      <c r="T240" s="618"/>
      <c r="U240" s="202">
        <f>SUM(E240:G240)</f>
        <v>0</v>
      </c>
      <c r="V240" s="656">
        <f>+SUMPRODUCT(V241:V244,W241:W244)</f>
        <v>0.58472222222222225</v>
      </c>
      <c r="W240" s="220">
        <v>1</v>
      </c>
      <c r="X240" s="619">
        <v>1</v>
      </c>
      <c r="Y240" s="620">
        <f>SUM(Y241:Y244)</f>
        <v>420000000</v>
      </c>
      <c r="Z240" s="620">
        <f>SUM(Z241:Z244)</f>
        <v>313482364.75</v>
      </c>
      <c r="AA240" s="620">
        <f>SUM(AA241:AA244)</f>
        <v>412454675.72000003</v>
      </c>
      <c r="AB240" s="621">
        <f t="shared" si="255"/>
        <v>0.98203494219047627</v>
      </c>
      <c r="AC240" s="620">
        <f>SUM(AC241:AC244)</f>
        <v>378268839.72000003</v>
      </c>
      <c r="AD240" s="666">
        <f t="shared" si="260"/>
        <v>0.90064009457142868</v>
      </c>
      <c r="AE240" s="1518">
        <f>SUM(AE241:AE244)</f>
        <v>34185836.000000015</v>
      </c>
      <c r="AF240" s="1573">
        <f>SUM(AF241:AF244)</f>
        <v>44190909.75</v>
      </c>
      <c r="AG240" s="620">
        <f>SUM(AG241:AG244)</f>
        <v>38890909.25</v>
      </c>
      <c r="AH240" s="505">
        <f t="shared" si="261"/>
        <v>0.88006582055034521</v>
      </c>
      <c r="AI240" s="620">
        <f t="shared" ref="AI240" si="312">SUM(AI241:AI244)</f>
        <v>2000000000</v>
      </c>
      <c r="AJ240" s="620">
        <f>SUM(AJ241:AJ244)</f>
        <v>725937040.47000003</v>
      </c>
      <c r="AK240" s="1696">
        <f t="shared" si="262"/>
        <v>0.36296852023500004</v>
      </c>
      <c r="AL240" s="624"/>
      <c r="AM240" s="625"/>
      <c r="AN240" s="626"/>
      <c r="AO240" s="1518"/>
      <c r="AP240" s="627"/>
      <c r="AQ240" s="627"/>
    </row>
    <row r="241" spans="1:43" ht="114.75" x14ac:dyDescent="0.25">
      <c r="A241" s="269" t="s">
        <v>671</v>
      </c>
      <c r="B241" s="360" t="s">
        <v>843</v>
      </c>
      <c r="C241" s="388">
        <v>4</v>
      </c>
      <c r="D241" s="321">
        <v>5</v>
      </c>
      <c r="E241" s="182">
        <v>4</v>
      </c>
      <c r="F241" s="147">
        <v>5</v>
      </c>
      <c r="G241" s="147"/>
      <c r="H241" s="167">
        <f t="shared" ref="H241:H244" si="313">IF((E241+G241)/C241&gt;=100%,100%,(E241+G241)/C241)</f>
        <v>1</v>
      </c>
      <c r="I241" s="520">
        <f t="shared" ref="I241:I244" si="314">IF(F241/D241&gt;=100%,100%,F241/D241)</f>
        <v>1</v>
      </c>
      <c r="J241" s="98" t="s">
        <v>1030</v>
      </c>
      <c r="K241" s="569"/>
      <c r="L241" s="102"/>
      <c r="M241" s="104"/>
      <c r="N241" s="146"/>
      <c r="O241" s="173"/>
      <c r="P241" s="173"/>
      <c r="Q241" s="173"/>
      <c r="R241" s="150"/>
      <c r="S241" s="173"/>
      <c r="T241" s="182">
        <v>20</v>
      </c>
      <c r="U241" s="195">
        <f>SUM(E241:G241)</f>
        <v>9</v>
      </c>
      <c r="V241" s="170">
        <f t="shared" ref="V241:V244" si="315">IF(U241/T241&gt;=100%,100%,U241/T241)</f>
        <v>0.45</v>
      </c>
      <c r="W241" s="188">
        <v>0.25</v>
      </c>
      <c r="X241" s="397">
        <v>0.25</v>
      </c>
      <c r="Y241" s="560">
        <v>150000000</v>
      </c>
      <c r="Z241" s="287">
        <v>87791455.5</v>
      </c>
      <c r="AA241" s="560">
        <v>147519988.86000001</v>
      </c>
      <c r="AB241" s="208">
        <f t="shared" si="255"/>
        <v>0.98346659240000012</v>
      </c>
      <c r="AC241" s="560">
        <v>141357288.86000001</v>
      </c>
      <c r="AD241" s="557">
        <f t="shared" si="260"/>
        <v>0.94238192573333346</v>
      </c>
      <c r="AE241" s="154">
        <f>+AA241-AC241</f>
        <v>6162700</v>
      </c>
      <c r="AF241" s="1574">
        <v>5700000.5</v>
      </c>
      <c r="AG241" s="287">
        <v>5400000</v>
      </c>
      <c r="AH241" s="506">
        <f t="shared" si="261"/>
        <v>0.94736833795014574</v>
      </c>
      <c r="AI241" s="198">
        <f>2000000000/4</f>
        <v>500000000</v>
      </c>
      <c r="AJ241" s="1603">
        <f t="shared" ref="AJ241:AJ244" si="316">+SUM(Z241:AA241)</f>
        <v>235311444.36000001</v>
      </c>
      <c r="AK241" s="894">
        <f t="shared" si="262"/>
        <v>0.47062288872000002</v>
      </c>
      <c r="AL241" s="1615"/>
      <c r="AM241" s="155"/>
      <c r="AN241" s="151" t="s">
        <v>302</v>
      </c>
      <c r="AO241" s="1899" t="s">
        <v>926</v>
      </c>
      <c r="AP241" s="98"/>
      <c r="AQ241" s="98"/>
    </row>
    <row r="242" spans="1:43" ht="89.25" x14ac:dyDescent="0.25">
      <c r="A242" s="269" t="s">
        <v>672</v>
      </c>
      <c r="B242" s="360" t="s">
        <v>844</v>
      </c>
      <c r="C242" s="388">
        <v>2</v>
      </c>
      <c r="D242" s="321">
        <v>4</v>
      </c>
      <c r="E242" s="236">
        <v>2</v>
      </c>
      <c r="F242" s="147">
        <v>5</v>
      </c>
      <c r="G242" s="147"/>
      <c r="H242" s="167">
        <f t="shared" si="313"/>
        <v>1</v>
      </c>
      <c r="I242" s="520">
        <f t="shared" si="314"/>
        <v>1</v>
      </c>
      <c r="J242" s="98" t="s">
        <v>1033</v>
      </c>
      <c r="K242" s="569"/>
      <c r="L242" s="102"/>
      <c r="M242" s="104"/>
      <c r="N242" s="146"/>
      <c r="O242" s="173"/>
      <c r="P242" s="173"/>
      <c r="Q242" s="173"/>
      <c r="R242" s="150"/>
      <c r="S242" s="173"/>
      <c r="T242" s="236">
        <v>18</v>
      </c>
      <c r="U242" s="195">
        <f t="shared" ref="U242:U244" si="317">SUM(E242:G242)</f>
        <v>7</v>
      </c>
      <c r="V242" s="170">
        <f t="shared" si="315"/>
        <v>0.3888888888888889</v>
      </c>
      <c r="W242" s="188">
        <v>0.25</v>
      </c>
      <c r="X242" s="397">
        <v>0.25</v>
      </c>
      <c r="Y242" s="510">
        <v>60000000</v>
      </c>
      <c r="Z242" s="287">
        <v>93190909.25</v>
      </c>
      <c r="AA242" s="560">
        <v>58402045</v>
      </c>
      <c r="AB242" s="208">
        <f t="shared" si="255"/>
        <v>0.97336741666666671</v>
      </c>
      <c r="AC242" s="560">
        <v>55481190</v>
      </c>
      <c r="AD242" s="557">
        <f t="shared" si="260"/>
        <v>0.92468649999999997</v>
      </c>
      <c r="AE242" s="154">
        <f>+AA242-AC242</f>
        <v>2920855</v>
      </c>
      <c r="AF242" s="1574">
        <v>28490909.25</v>
      </c>
      <c r="AG242" s="287">
        <v>23490909.25</v>
      </c>
      <c r="AH242" s="506">
        <f t="shared" si="261"/>
        <v>0.8245054253577393</v>
      </c>
      <c r="AI242" s="198">
        <f t="shared" ref="AI242:AI244" si="318">2000000000/4</f>
        <v>500000000</v>
      </c>
      <c r="AJ242" s="1603">
        <f t="shared" si="316"/>
        <v>151592954.25</v>
      </c>
      <c r="AK242" s="894">
        <f t="shared" si="262"/>
        <v>0.30318590849999999</v>
      </c>
      <c r="AL242" s="1615"/>
      <c r="AM242" s="155"/>
      <c r="AN242" s="151" t="s">
        <v>302</v>
      </c>
      <c r="AO242" s="1897"/>
      <c r="AP242" s="98"/>
      <c r="AQ242" s="98"/>
    </row>
    <row r="243" spans="1:43" ht="115.5" thickBot="1" x14ac:dyDescent="0.3">
      <c r="A243" s="269" t="s">
        <v>673</v>
      </c>
      <c r="B243" s="360" t="s">
        <v>845</v>
      </c>
      <c r="C243" s="388">
        <v>1000</v>
      </c>
      <c r="D243" s="321">
        <v>1000</v>
      </c>
      <c r="E243" s="236">
        <v>1000</v>
      </c>
      <c r="F243" s="558">
        <v>71517</v>
      </c>
      <c r="G243" s="147"/>
      <c r="H243" s="167">
        <f t="shared" si="313"/>
        <v>1</v>
      </c>
      <c r="I243" s="520">
        <f t="shared" si="314"/>
        <v>1</v>
      </c>
      <c r="J243" s="1099" t="s">
        <v>1032</v>
      </c>
      <c r="K243" s="569"/>
      <c r="L243" s="103"/>
      <c r="M243" s="105"/>
      <c r="N243" s="146"/>
      <c r="O243" s="173"/>
      <c r="P243" s="173"/>
      <c r="Q243" s="173"/>
      <c r="R243" s="150"/>
      <c r="S243" s="173"/>
      <c r="T243" s="236">
        <v>5000</v>
      </c>
      <c r="U243" s="195">
        <f>SUM(E243:G243)</f>
        <v>72517</v>
      </c>
      <c r="V243" s="170">
        <f t="shared" si="315"/>
        <v>1</v>
      </c>
      <c r="W243" s="188">
        <v>0.25</v>
      </c>
      <c r="X243" s="397">
        <v>0.25</v>
      </c>
      <c r="Y243" s="511">
        <v>150000000</v>
      </c>
      <c r="Z243" s="287">
        <v>62300000</v>
      </c>
      <c r="AA243" s="560">
        <v>147530596.86000001</v>
      </c>
      <c r="AB243" s="208">
        <f t="shared" si="255"/>
        <v>0.98353731240000009</v>
      </c>
      <c r="AC243" s="560">
        <v>125728344.86</v>
      </c>
      <c r="AD243" s="557">
        <f t="shared" si="260"/>
        <v>0.83818896573333335</v>
      </c>
      <c r="AE243" s="154">
        <f>+AA243-AC243</f>
        <v>21802252.000000015</v>
      </c>
      <c r="AF243" s="1567">
        <v>6600000</v>
      </c>
      <c r="AG243" s="287">
        <v>6600000</v>
      </c>
      <c r="AH243" s="506">
        <f t="shared" si="261"/>
        <v>1</v>
      </c>
      <c r="AI243" s="198">
        <f t="shared" si="318"/>
        <v>500000000</v>
      </c>
      <c r="AJ243" s="1603">
        <f t="shared" si="316"/>
        <v>209830596.86000001</v>
      </c>
      <c r="AK243" s="894">
        <f t="shared" si="262"/>
        <v>0.41966119372000005</v>
      </c>
      <c r="AL243" s="1615"/>
      <c r="AM243" s="155"/>
      <c r="AN243" s="151" t="s">
        <v>302</v>
      </c>
      <c r="AO243" s="1898"/>
      <c r="AP243" s="98"/>
      <c r="AQ243" s="98"/>
    </row>
    <row r="244" spans="1:43" ht="39" thickBot="1" x14ac:dyDescent="0.3">
      <c r="A244" s="658" t="s">
        <v>674</v>
      </c>
      <c r="B244" s="659" t="s">
        <v>846</v>
      </c>
      <c r="C244" s="660">
        <v>0.1</v>
      </c>
      <c r="D244" s="652">
        <v>0.1</v>
      </c>
      <c r="E244" s="651">
        <v>0.1</v>
      </c>
      <c r="F244" s="179">
        <v>0.1</v>
      </c>
      <c r="G244" s="573"/>
      <c r="H244" s="561">
        <f t="shared" si="313"/>
        <v>1</v>
      </c>
      <c r="I244" s="557">
        <f t="shared" si="314"/>
        <v>1</v>
      </c>
      <c r="J244" s="594" t="s">
        <v>1031</v>
      </c>
      <c r="K244" s="569"/>
      <c r="L244" s="177"/>
      <c r="M244" s="178"/>
      <c r="N244" s="568"/>
      <c r="O244" s="173"/>
      <c r="P244" s="173"/>
      <c r="Q244" s="173"/>
      <c r="R244" s="574"/>
      <c r="S244" s="173"/>
      <c r="T244" s="651">
        <v>0.4</v>
      </c>
      <c r="U244" s="555">
        <f t="shared" si="317"/>
        <v>0.2</v>
      </c>
      <c r="V244" s="575">
        <f t="shared" si="315"/>
        <v>0.5</v>
      </c>
      <c r="W244" s="670">
        <v>0.25</v>
      </c>
      <c r="X244" s="677">
        <v>0.25</v>
      </c>
      <c r="Y244" s="547">
        <v>60000000</v>
      </c>
      <c r="Z244" s="655">
        <v>70200000</v>
      </c>
      <c r="AA244" s="686">
        <v>59002045</v>
      </c>
      <c r="AB244" s="580">
        <f t="shared" si="255"/>
        <v>0.98336741666666672</v>
      </c>
      <c r="AC244" s="686">
        <v>55702016</v>
      </c>
      <c r="AD244" s="557">
        <f t="shared" si="260"/>
        <v>0.92836693333333331</v>
      </c>
      <c r="AE244" s="163">
        <f>+AA244-AC244</f>
        <v>3300029</v>
      </c>
      <c r="AF244" s="1568">
        <v>3400000</v>
      </c>
      <c r="AG244" s="655">
        <v>3400000</v>
      </c>
      <c r="AH244" s="581">
        <f t="shared" si="261"/>
        <v>1</v>
      </c>
      <c r="AI244" s="582">
        <f t="shared" si="318"/>
        <v>500000000</v>
      </c>
      <c r="AJ244" s="1614">
        <f t="shared" si="316"/>
        <v>129202045</v>
      </c>
      <c r="AK244" s="894">
        <f t="shared" si="262"/>
        <v>0.25840408999999998</v>
      </c>
      <c r="AL244" s="1615"/>
      <c r="AM244" s="162"/>
      <c r="AN244" s="589" t="s">
        <v>302</v>
      </c>
      <c r="AO244" s="1798" t="s">
        <v>895</v>
      </c>
      <c r="AP244" s="594"/>
      <c r="AQ244" s="594"/>
    </row>
    <row r="245" spans="1:43" ht="51.75" thickBot="1" x14ac:dyDescent="0.3">
      <c r="A245" s="628" t="s">
        <v>447</v>
      </c>
      <c r="B245" s="687"/>
      <c r="C245" s="688"/>
      <c r="D245" s="689"/>
      <c r="E245" s="690"/>
      <c r="F245" s="688"/>
      <c r="G245" s="688"/>
      <c r="H245" s="633">
        <f>+(H246*W246)</f>
        <v>1</v>
      </c>
      <c r="I245" s="644">
        <f>+(I246*X246)</f>
        <v>0.7</v>
      </c>
      <c r="J245" s="691"/>
      <c r="K245" s="692"/>
      <c r="L245" s="693"/>
      <c r="M245" s="694"/>
      <c r="N245" s="694"/>
      <c r="O245" s="695"/>
      <c r="P245" s="695"/>
      <c r="Q245" s="695"/>
      <c r="R245" s="696"/>
      <c r="S245" s="695"/>
      <c r="T245" s="697"/>
      <c r="U245" s="698"/>
      <c r="V245" s="680">
        <f>+(V246*W246)</f>
        <v>0.35</v>
      </c>
      <c r="W245" s="646">
        <v>0.1</v>
      </c>
      <c r="X245" s="657">
        <v>0.1</v>
      </c>
      <c r="Y245" s="642">
        <f>+Y246</f>
        <v>250000000</v>
      </c>
      <c r="Z245" s="642">
        <f>+Z246</f>
        <v>92700000</v>
      </c>
      <c r="AA245" s="642">
        <f>+AA246</f>
        <v>246500889</v>
      </c>
      <c r="AB245" s="643">
        <f t="shared" si="255"/>
        <v>0.986003556</v>
      </c>
      <c r="AC245" s="642">
        <f>+AC246</f>
        <v>213327183</v>
      </c>
      <c r="AD245" s="644">
        <f t="shared" si="260"/>
        <v>0.85330873200000001</v>
      </c>
      <c r="AE245" s="629">
        <f>+AE246</f>
        <v>33173706</v>
      </c>
      <c r="AF245" s="637">
        <f>+AF246</f>
        <v>21300000</v>
      </c>
      <c r="AG245" s="642">
        <f>+AG246</f>
        <v>21300000</v>
      </c>
      <c r="AH245" s="699">
        <f t="shared" si="261"/>
        <v>1</v>
      </c>
      <c r="AI245" s="642">
        <f t="shared" ref="AI245" si="319">+AI246</f>
        <v>1350000000</v>
      </c>
      <c r="AJ245" s="642">
        <f>+AJ246</f>
        <v>339200889</v>
      </c>
      <c r="AK245" s="1697">
        <f t="shared" si="262"/>
        <v>0.25125991777777779</v>
      </c>
      <c r="AL245" s="636"/>
      <c r="AM245" s="636" t="s">
        <v>301</v>
      </c>
      <c r="AN245" s="637"/>
      <c r="AO245" s="629"/>
      <c r="AP245" s="691"/>
      <c r="AQ245" s="691"/>
    </row>
    <row r="246" spans="1:43" x14ac:dyDescent="0.25">
      <c r="A246" s="252" t="s">
        <v>501</v>
      </c>
      <c r="B246" s="344"/>
      <c r="C246" s="611"/>
      <c r="D246" s="612"/>
      <c r="E246" s="613"/>
      <c r="F246" s="611"/>
      <c r="G246" s="611"/>
      <c r="H246" s="220">
        <f>+(H248*100%)</f>
        <v>1</v>
      </c>
      <c r="I246" s="622">
        <f>+SUMPRODUCT(I247:I249,X247:X249)</f>
        <v>0.7</v>
      </c>
      <c r="J246" s="614"/>
      <c r="K246" s="615"/>
      <c r="L246" s="196"/>
      <c r="M246" s="590"/>
      <c r="N246" s="590"/>
      <c r="O246" s="616"/>
      <c r="P246" s="616"/>
      <c r="Q246" s="616"/>
      <c r="R246" s="617"/>
      <c r="S246" s="616"/>
      <c r="T246" s="618"/>
      <c r="U246" s="202"/>
      <c r="V246" s="1701">
        <f>+SUMPRODUCT(V247:V249,W247:W249)</f>
        <v>0.35</v>
      </c>
      <c r="W246" s="1702">
        <v>1</v>
      </c>
      <c r="X246" s="1703">
        <v>1</v>
      </c>
      <c r="Y246" s="1704">
        <f>SUM(Y247:Y249)</f>
        <v>250000000</v>
      </c>
      <c r="Z246" s="1704">
        <f>SUM(Z247:Z249)</f>
        <v>92700000</v>
      </c>
      <c r="AA246" s="1704">
        <f>SUM(AA247:AA249)</f>
        <v>246500889</v>
      </c>
      <c r="AB246" s="1705">
        <f t="shared" si="255"/>
        <v>0.986003556</v>
      </c>
      <c r="AC246" s="1704">
        <f>SUM(AC247:AC249)</f>
        <v>213327183</v>
      </c>
      <c r="AD246" s="1706">
        <f t="shared" si="260"/>
        <v>0.85330873200000001</v>
      </c>
      <c r="AE246" s="1707">
        <f>SUM(AE247:AE249)</f>
        <v>33173706</v>
      </c>
      <c r="AF246" s="1708">
        <f>SUM(AF247:AF249)</f>
        <v>21300000</v>
      </c>
      <c r="AG246" s="1704">
        <f>SUM(AG247:AG249)</f>
        <v>21300000</v>
      </c>
      <c r="AH246" s="1709">
        <f t="shared" si="261"/>
        <v>1</v>
      </c>
      <c r="AI246" s="1704">
        <f t="shared" ref="AI246" si="320">SUM(AI247:AI249)</f>
        <v>1350000000</v>
      </c>
      <c r="AJ246" s="1704">
        <f>SUM(AJ247:AJ249)</f>
        <v>339200889</v>
      </c>
      <c r="AK246" s="1710">
        <f t="shared" si="262"/>
        <v>0.25125991777777779</v>
      </c>
      <c r="AL246" s="1711"/>
      <c r="AM246" s="1712"/>
      <c r="AN246" s="1713"/>
      <c r="AO246" s="1518"/>
      <c r="AP246" s="627"/>
      <c r="AQ246" s="627"/>
    </row>
    <row r="247" spans="1:43" ht="89.25" x14ac:dyDescent="0.2">
      <c r="A247" s="268" t="s">
        <v>675</v>
      </c>
      <c r="B247" s="359" t="s">
        <v>847</v>
      </c>
      <c r="C247" s="386">
        <v>0</v>
      </c>
      <c r="D247" s="319">
        <v>1</v>
      </c>
      <c r="E247" s="233">
        <v>0</v>
      </c>
      <c r="F247" s="147">
        <v>1</v>
      </c>
      <c r="G247" s="147"/>
      <c r="H247" s="167" t="e">
        <f t="shared" ref="H247:H249" si="321">IF((E247+G247)/C247&gt;=100%,100%,(E247+G247)/C247)</f>
        <v>#DIV/0!</v>
      </c>
      <c r="I247" s="520">
        <f t="shared" ref="I247:I249" si="322">IF(F247/D247&gt;=100%,100%,F247/D247)</f>
        <v>1</v>
      </c>
      <c r="J247" s="594" t="s">
        <v>1034</v>
      </c>
      <c r="K247" s="569"/>
      <c r="L247" s="102"/>
      <c r="M247" s="104"/>
      <c r="N247" s="146"/>
      <c r="O247" s="173"/>
      <c r="P247" s="173"/>
      <c r="Q247" s="173"/>
      <c r="R247" s="150"/>
      <c r="S247" s="173"/>
      <c r="T247" s="1691">
        <v>2</v>
      </c>
      <c r="U247" s="599">
        <f>SUM(E247:G247)</f>
        <v>1</v>
      </c>
      <c r="V247" s="1684">
        <f t="shared" ref="V247:V249" si="323">IF(U247/T247&gt;=100%,100%,U247/T247)</f>
        <v>0.5</v>
      </c>
      <c r="W247" s="423">
        <v>0.4</v>
      </c>
      <c r="X247" s="442">
        <v>0.4</v>
      </c>
      <c r="Y247" s="1700">
        <v>100000000</v>
      </c>
      <c r="Z247" s="287">
        <v>0</v>
      </c>
      <c r="AA247" s="1700">
        <v>99068176</v>
      </c>
      <c r="AB247" s="1095">
        <f t="shared" si="255"/>
        <v>0.99068175999999997</v>
      </c>
      <c r="AC247" s="1700">
        <v>83226826</v>
      </c>
      <c r="AD247" s="1104">
        <f t="shared" si="260"/>
        <v>0.83226825999999998</v>
      </c>
      <c r="AE247" s="1601">
        <f>+AA247-AC247</f>
        <v>15841350</v>
      </c>
      <c r="AF247" s="1567">
        <v>0</v>
      </c>
      <c r="AG247" s="287">
        <v>0</v>
      </c>
      <c r="AH247" s="1097" t="e">
        <f t="shared" si="261"/>
        <v>#DIV/0!</v>
      </c>
      <c r="AI247" s="1693">
        <f>1250000000/2</f>
        <v>625000000</v>
      </c>
      <c r="AJ247" s="1603">
        <f t="shared" ref="AJ247:AJ249" si="324">+SUM(Z247:AA247)</f>
        <v>99068176</v>
      </c>
      <c r="AK247" s="894">
        <f t="shared" si="262"/>
        <v>0.15850908159999999</v>
      </c>
      <c r="AL247" s="1615"/>
      <c r="AM247" s="1604"/>
      <c r="AN247" s="601" t="s">
        <v>302</v>
      </c>
      <c r="AO247" s="553" t="s">
        <v>895</v>
      </c>
      <c r="AP247" s="98"/>
      <c r="AQ247" s="98"/>
    </row>
    <row r="248" spans="1:43" ht="76.5" x14ac:dyDescent="0.25">
      <c r="A248" s="268" t="s">
        <v>676</v>
      </c>
      <c r="B248" s="359" t="s">
        <v>848</v>
      </c>
      <c r="C248" s="387">
        <v>1</v>
      </c>
      <c r="D248" s="320">
        <v>1</v>
      </c>
      <c r="E248" s="234">
        <v>1</v>
      </c>
      <c r="F248" s="169">
        <v>1</v>
      </c>
      <c r="G248" s="147"/>
      <c r="H248" s="167">
        <f t="shared" si="321"/>
        <v>1</v>
      </c>
      <c r="I248" s="520">
        <f t="shared" si="322"/>
        <v>1</v>
      </c>
      <c r="J248" s="594" t="s">
        <v>1035</v>
      </c>
      <c r="K248" s="569"/>
      <c r="L248" s="102"/>
      <c r="M248" s="104"/>
      <c r="N248" s="146"/>
      <c r="O248" s="173"/>
      <c r="P248" s="173"/>
      <c r="Q248" s="173"/>
      <c r="R248" s="150"/>
      <c r="S248" s="173"/>
      <c r="T248" s="1514">
        <v>4</v>
      </c>
      <c r="U248" s="598">
        <f t="shared" ref="U248:U249" si="325">SUM(E248:G248)</f>
        <v>2</v>
      </c>
      <c r="V248" s="1684">
        <f t="shared" si="323"/>
        <v>0.5</v>
      </c>
      <c r="W248" s="423">
        <v>0.3</v>
      </c>
      <c r="X248" s="442">
        <v>0.3</v>
      </c>
      <c r="Y248" s="511">
        <v>70000000</v>
      </c>
      <c r="Z248" s="287">
        <v>92700000</v>
      </c>
      <c r="AA248" s="1700">
        <v>69223482</v>
      </c>
      <c r="AB248" s="1095">
        <f t="shared" si="255"/>
        <v>0.98890688571428575</v>
      </c>
      <c r="AC248" s="1700">
        <v>56655687</v>
      </c>
      <c r="AD248" s="1104">
        <f t="shared" si="260"/>
        <v>0.80936695714285711</v>
      </c>
      <c r="AE248" s="1601">
        <f>+AA248-AC248</f>
        <v>12567795</v>
      </c>
      <c r="AF248" s="1567">
        <v>21300000</v>
      </c>
      <c r="AG248" s="287">
        <v>21300000</v>
      </c>
      <c r="AH248" s="1097">
        <f t="shared" si="261"/>
        <v>1</v>
      </c>
      <c r="AI248" s="1693">
        <f>1250000000/2</f>
        <v>625000000</v>
      </c>
      <c r="AJ248" s="1603">
        <f t="shared" si="324"/>
        <v>161923482</v>
      </c>
      <c r="AK248" s="894">
        <f t="shared" si="262"/>
        <v>0.25907757120000002</v>
      </c>
      <c r="AL248" s="1615"/>
      <c r="AM248" s="1604"/>
      <c r="AN248" s="601" t="s">
        <v>302</v>
      </c>
      <c r="AO248" s="1799" t="s">
        <v>895</v>
      </c>
      <c r="AP248" s="98"/>
      <c r="AQ248" s="98"/>
    </row>
    <row r="249" spans="1:43" ht="64.5" thickBot="1" x14ac:dyDescent="0.3">
      <c r="A249" s="271" t="s">
        <v>677</v>
      </c>
      <c r="B249" s="239" t="s">
        <v>849</v>
      </c>
      <c r="C249" s="681">
        <v>0</v>
      </c>
      <c r="D249" s="682">
        <v>1</v>
      </c>
      <c r="E249" s="683">
        <v>0</v>
      </c>
      <c r="F249" s="573">
        <v>0</v>
      </c>
      <c r="G249" s="573"/>
      <c r="H249" s="561" t="e">
        <f t="shared" si="321"/>
        <v>#DIV/0!</v>
      </c>
      <c r="I249" s="557">
        <f t="shared" si="322"/>
        <v>0</v>
      </c>
      <c r="J249" s="594" t="s">
        <v>1036</v>
      </c>
      <c r="K249" s="569"/>
      <c r="L249" s="177"/>
      <c r="M249" s="178"/>
      <c r="N249" s="568"/>
      <c r="O249" s="173"/>
      <c r="P249" s="173"/>
      <c r="Q249" s="173"/>
      <c r="R249" s="574"/>
      <c r="S249" s="173"/>
      <c r="T249" s="194">
        <v>1</v>
      </c>
      <c r="U249" s="555">
        <f t="shared" si="325"/>
        <v>0</v>
      </c>
      <c r="V249" s="575">
        <f t="shared" si="323"/>
        <v>0</v>
      </c>
      <c r="W249" s="425">
        <v>0.3</v>
      </c>
      <c r="X249" s="443">
        <v>0.3</v>
      </c>
      <c r="Y249" s="654">
        <v>80000000</v>
      </c>
      <c r="Z249" s="655">
        <v>0</v>
      </c>
      <c r="AA249" s="684">
        <v>78209231</v>
      </c>
      <c r="AB249" s="580">
        <f t="shared" si="255"/>
        <v>0.97761538749999999</v>
      </c>
      <c r="AC249" s="684">
        <v>73444670</v>
      </c>
      <c r="AD249" s="557">
        <f t="shared" si="260"/>
        <v>0.91805837499999998</v>
      </c>
      <c r="AE249" s="163">
        <f>+AA249-AC249</f>
        <v>4764561</v>
      </c>
      <c r="AF249" s="1568">
        <v>0</v>
      </c>
      <c r="AG249" s="655">
        <v>0</v>
      </c>
      <c r="AH249" s="581" t="e">
        <f t="shared" si="261"/>
        <v>#DIV/0!</v>
      </c>
      <c r="AI249" s="685">
        <v>100000000</v>
      </c>
      <c r="AJ249" s="582">
        <f t="shared" si="324"/>
        <v>78209231</v>
      </c>
      <c r="AK249" s="561">
        <f t="shared" si="262"/>
        <v>0.78209231000000001</v>
      </c>
      <c r="AL249" s="162"/>
      <c r="AM249" s="162"/>
      <c r="AN249" s="589" t="s">
        <v>302</v>
      </c>
      <c r="AO249" s="1800" t="s">
        <v>895</v>
      </c>
      <c r="AP249" s="594"/>
      <c r="AQ249" s="594"/>
    </row>
    <row r="250" spans="1:43" s="554" customFormat="1" ht="51.75" thickBot="1" x14ac:dyDescent="0.3">
      <c r="A250" s="628" t="s">
        <v>448</v>
      </c>
      <c r="B250" s="629"/>
      <c r="C250" s="630"/>
      <c r="D250" s="631"/>
      <c r="E250" s="632"/>
      <c r="F250" s="630"/>
      <c r="G250" s="630"/>
      <c r="H250" s="633">
        <f>+(H251*W251)+(H257*W257)</f>
        <v>0.95500000000000007</v>
      </c>
      <c r="I250" s="644">
        <f>+(I251*X251)+(I257*X257)</f>
        <v>0.7</v>
      </c>
      <c r="J250" s="634"/>
      <c r="K250" s="635"/>
      <c r="L250" s="636"/>
      <c r="M250" s="637"/>
      <c r="N250" s="637"/>
      <c r="O250" s="638"/>
      <c r="P250" s="638"/>
      <c r="Q250" s="638"/>
      <c r="R250" s="639"/>
      <c r="S250" s="638"/>
      <c r="T250" s="640"/>
      <c r="U250" s="641"/>
      <c r="V250" s="680">
        <f>+(V251*W251)+(V257*W257)</f>
        <v>0.397175</v>
      </c>
      <c r="W250" s="646">
        <v>0.1</v>
      </c>
      <c r="X250" s="657">
        <v>0.1</v>
      </c>
      <c r="Y250" s="642">
        <f>+Y251+Y257</f>
        <v>665000000</v>
      </c>
      <c r="Z250" s="642">
        <f>+Z251+Z257</f>
        <v>163061300</v>
      </c>
      <c r="AA250" s="642">
        <f>+AA251+AA257</f>
        <v>636452502</v>
      </c>
      <c r="AB250" s="643">
        <f t="shared" si="255"/>
        <v>0.95707143157894736</v>
      </c>
      <c r="AC250" s="642">
        <f>+AC251+AC257</f>
        <v>489310270</v>
      </c>
      <c r="AD250" s="644">
        <f t="shared" si="260"/>
        <v>0.73580491729323305</v>
      </c>
      <c r="AE250" s="629">
        <f>+AE251+AE257</f>
        <v>147142232</v>
      </c>
      <c r="AF250" s="637">
        <f>+AF251+AF257</f>
        <v>119061300</v>
      </c>
      <c r="AG250" s="642">
        <f>+AG251+AG257</f>
        <v>119061300</v>
      </c>
      <c r="AH250" s="645">
        <f t="shared" si="261"/>
        <v>1</v>
      </c>
      <c r="AI250" s="642">
        <f t="shared" ref="AI250" si="326">+AI251+AI257</f>
        <v>3646000000</v>
      </c>
      <c r="AJ250" s="642">
        <f>+AJ251+AJ257</f>
        <v>799513802</v>
      </c>
      <c r="AK250" s="646">
        <f t="shared" si="262"/>
        <v>0.21928518979703784</v>
      </c>
      <c r="AL250" s="636"/>
      <c r="AM250" s="636" t="s">
        <v>301</v>
      </c>
      <c r="AN250" s="637"/>
      <c r="AO250" s="629"/>
      <c r="AP250" s="634"/>
      <c r="AQ250" s="634"/>
    </row>
    <row r="251" spans="1:43" x14ac:dyDescent="0.25">
      <c r="A251" s="252" t="s">
        <v>502</v>
      </c>
      <c r="B251" s="344"/>
      <c r="C251" s="611"/>
      <c r="D251" s="612"/>
      <c r="E251" s="613"/>
      <c r="F251" s="611"/>
      <c r="G251" s="611"/>
      <c r="H251" s="220">
        <f>+(H252*50%)+(H253*50%)</f>
        <v>0.92500000000000004</v>
      </c>
      <c r="I251" s="622">
        <f>+SUMPRODUCT(I252:I256,X252:X256)</f>
        <v>0.5</v>
      </c>
      <c r="J251" s="627"/>
      <c r="K251" s="615"/>
      <c r="L251" s="196"/>
      <c r="M251" s="590"/>
      <c r="N251" s="590"/>
      <c r="O251" s="616"/>
      <c r="P251" s="616"/>
      <c r="Q251" s="616"/>
      <c r="R251" s="617"/>
      <c r="S251" s="616"/>
      <c r="T251" s="618"/>
      <c r="U251" s="202"/>
      <c r="V251" s="656">
        <f>+SUMPRODUCT(V252:V256,W252:W256)</f>
        <v>0.24062499999999998</v>
      </c>
      <c r="W251" s="220">
        <v>0.6</v>
      </c>
      <c r="X251" s="619">
        <v>0.6</v>
      </c>
      <c r="Y251" s="620">
        <f>SUM(Y252:Y256)</f>
        <v>440000000</v>
      </c>
      <c r="Z251" s="620">
        <f>SUM(Z252:Z256)</f>
        <v>105061300</v>
      </c>
      <c r="AA251" s="620">
        <f>SUM(AA252:AA256)</f>
        <v>414875620</v>
      </c>
      <c r="AB251" s="621">
        <f t="shared" si="255"/>
        <v>0.94289913636363631</v>
      </c>
      <c r="AC251" s="620">
        <f>SUM(AC252:AC256)</f>
        <v>340159917</v>
      </c>
      <c r="AD251" s="666">
        <f t="shared" si="260"/>
        <v>0.77309072045454541</v>
      </c>
      <c r="AE251" s="1518">
        <f>SUM(AE252:AE256)</f>
        <v>74715703</v>
      </c>
      <c r="AF251" s="590">
        <f>SUM(AF252:AF256)</f>
        <v>105061300</v>
      </c>
      <c r="AG251" s="620">
        <f>SUM(AG252:AG256)</f>
        <v>105061300</v>
      </c>
      <c r="AH251" s="505">
        <f t="shared" si="261"/>
        <v>1</v>
      </c>
      <c r="AI251" s="620">
        <f t="shared" ref="AI251" si="327">SUM(AI252:AI256)</f>
        <v>2096000000</v>
      </c>
      <c r="AJ251" s="620">
        <f>SUM(AJ252:AJ256)</f>
        <v>519936920</v>
      </c>
      <c r="AK251" s="1696">
        <f t="shared" si="262"/>
        <v>0.24806150763358778</v>
      </c>
      <c r="AL251" s="624"/>
      <c r="AM251" s="625"/>
      <c r="AN251" s="626"/>
      <c r="AO251" s="1518"/>
      <c r="AP251" s="627"/>
      <c r="AQ251" s="627"/>
    </row>
    <row r="252" spans="1:43" ht="102" x14ac:dyDescent="0.25">
      <c r="A252" s="272" t="s">
        <v>678</v>
      </c>
      <c r="B252" s="362" t="s">
        <v>850</v>
      </c>
      <c r="C252" s="390">
        <v>1</v>
      </c>
      <c r="D252" s="322">
        <v>1</v>
      </c>
      <c r="E252" s="1086">
        <v>0.7</v>
      </c>
      <c r="F252" s="600">
        <v>1</v>
      </c>
      <c r="G252" s="600">
        <v>0.15</v>
      </c>
      <c r="H252" s="598">
        <f t="shared" ref="H252" si="328">IF((E252+G252)/C252&gt;=100%,100%,(E252+G252)/C252)</f>
        <v>0.85</v>
      </c>
      <c r="I252" s="1096">
        <f t="shared" ref="I252" si="329">IF(F252/D252&gt;=100%,100%,F252/D252)</f>
        <v>1</v>
      </c>
      <c r="J252" s="604" t="s">
        <v>1037</v>
      </c>
      <c r="K252" s="1088"/>
      <c r="L252" s="1583"/>
      <c r="M252" s="1584"/>
      <c r="N252" s="1085"/>
      <c r="O252" s="1090"/>
      <c r="P252" s="1090"/>
      <c r="Q252" s="1090"/>
      <c r="R252" s="1091"/>
      <c r="S252" s="1090"/>
      <c r="T252" s="605">
        <v>4</v>
      </c>
      <c r="U252" s="598">
        <f>SUM(E252:G252)</f>
        <v>1.8499999999999999</v>
      </c>
      <c r="V252" s="1684">
        <f t="shared" ref="V252:V256" si="330">IF(U252/T252&gt;=100%,100%,U252/T252)</f>
        <v>0.46249999999999997</v>
      </c>
      <c r="W252" s="426">
        <v>0.25</v>
      </c>
      <c r="X252" s="426">
        <v>0.25</v>
      </c>
      <c r="Y252" s="512">
        <v>100000000</v>
      </c>
      <c r="Z252" s="289">
        <v>105061300</v>
      </c>
      <c r="AA252" s="512">
        <v>98248570</v>
      </c>
      <c r="AB252" s="1095">
        <f t="shared" si="255"/>
        <v>0.98248570000000002</v>
      </c>
      <c r="AC252" s="512">
        <v>62456946</v>
      </c>
      <c r="AD252" s="1104">
        <f t="shared" si="260"/>
        <v>0.62456946000000002</v>
      </c>
      <c r="AE252" s="1601">
        <f>+AA252-AC252</f>
        <v>35791624</v>
      </c>
      <c r="AF252" s="1571">
        <v>105061300</v>
      </c>
      <c r="AG252" s="289">
        <v>105061300</v>
      </c>
      <c r="AH252" s="1097">
        <f t="shared" si="261"/>
        <v>1</v>
      </c>
      <c r="AI252" s="1603">
        <f>1896000000/4</f>
        <v>474000000</v>
      </c>
      <c r="AJ252" s="1603">
        <f t="shared" ref="AJ252:AJ259" si="331">+SUM(Z252:AA252)</f>
        <v>203309870</v>
      </c>
      <c r="AK252" s="894">
        <f t="shared" si="262"/>
        <v>0.42892377637130802</v>
      </c>
      <c r="AL252" s="162"/>
      <c r="AM252" s="155"/>
      <c r="AN252" s="151" t="s">
        <v>302</v>
      </c>
      <c r="AO252" s="1796" t="s">
        <v>895</v>
      </c>
      <c r="AP252" s="98"/>
      <c r="AQ252" s="98"/>
    </row>
    <row r="253" spans="1:43" ht="25.5" x14ac:dyDescent="0.25">
      <c r="A253" s="269" t="s">
        <v>679</v>
      </c>
      <c r="B253" s="360" t="s">
        <v>851</v>
      </c>
      <c r="C253" s="390">
        <v>1</v>
      </c>
      <c r="D253" s="322">
        <v>1</v>
      </c>
      <c r="E253" s="238">
        <v>1</v>
      </c>
      <c r="F253" s="600">
        <v>1</v>
      </c>
      <c r="G253" s="558"/>
      <c r="H253" s="598">
        <f t="shared" ref="H253:H256" si="332">IF((E253+G253)/C253&gt;=100%,100%,(E253+G253)/C253)</f>
        <v>1</v>
      </c>
      <c r="I253" s="1096">
        <f t="shared" ref="I253:I256" si="333">IF(F253/D253&gt;=100%,100%,F253/D253)</f>
        <v>1</v>
      </c>
      <c r="J253" s="604" t="s">
        <v>1038</v>
      </c>
      <c r="K253" s="1088"/>
      <c r="L253" s="1583"/>
      <c r="M253" s="1584"/>
      <c r="N253" s="1085"/>
      <c r="O253" s="1090"/>
      <c r="P253" s="1090"/>
      <c r="Q253" s="1090"/>
      <c r="R253" s="1091"/>
      <c r="S253" s="1090"/>
      <c r="T253" s="238">
        <v>4</v>
      </c>
      <c r="U253" s="598">
        <f t="shared" ref="U253:U256" si="334">SUM(E253:G253)</f>
        <v>2</v>
      </c>
      <c r="V253" s="1684">
        <f t="shared" si="330"/>
        <v>0.5</v>
      </c>
      <c r="W253" s="424">
        <v>0.25</v>
      </c>
      <c r="X253" s="424">
        <v>0.25</v>
      </c>
      <c r="Y253" s="512">
        <v>50000000</v>
      </c>
      <c r="Z253" s="289">
        <v>0</v>
      </c>
      <c r="AA253" s="512">
        <v>32857008</v>
      </c>
      <c r="AB253" s="1095">
        <f t="shared" si="255"/>
        <v>0.65714015999999997</v>
      </c>
      <c r="AC253" s="512">
        <v>11887325</v>
      </c>
      <c r="AD253" s="894">
        <f t="shared" si="260"/>
        <v>0.2377465</v>
      </c>
      <c r="AE253" s="1601">
        <f>+AA253-AC253</f>
        <v>20969683</v>
      </c>
      <c r="AF253" s="1571">
        <v>0</v>
      </c>
      <c r="AG253" s="289">
        <v>0</v>
      </c>
      <c r="AH253" s="1097" t="e">
        <f t="shared" si="261"/>
        <v>#DIV/0!</v>
      </c>
      <c r="AI253" s="1603">
        <f t="shared" ref="AI253:AI255" si="335">1896000000/4</f>
        <v>474000000</v>
      </c>
      <c r="AJ253" s="1603">
        <f t="shared" si="331"/>
        <v>32857008</v>
      </c>
      <c r="AK253" s="894">
        <f t="shared" si="262"/>
        <v>6.9318582278481006E-2</v>
      </c>
      <c r="AL253" s="162"/>
      <c r="AM253" s="155"/>
      <c r="AN253" s="151" t="s">
        <v>302</v>
      </c>
      <c r="AO253" s="1796" t="s">
        <v>895</v>
      </c>
      <c r="AP253" s="98"/>
      <c r="AQ253" s="98"/>
    </row>
    <row r="254" spans="1:43" ht="63.75" x14ac:dyDescent="0.25">
      <c r="A254" s="269" t="s">
        <v>680</v>
      </c>
      <c r="B254" s="360" t="s">
        <v>852</v>
      </c>
      <c r="C254" s="388">
        <v>0</v>
      </c>
      <c r="D254" s="321">
        <v>0.1</v>
      </c>
      <c r="E254" s="1582">
        <v>0</v>
      </c>
      <c r="F254" s="558">
        <v>0</v>
      </c>
      <c r="G254" s="558"/>
      <c r="H254" s="598" t="e">
        <f t="shared" si="332"/>
        <v>#DIV/0!</v>
      </c>
      <c r="I254" s="1096">
        <f t="shared" si="333"/>
        <v>0</v>
      </c>
      <c r="J254" s="604" t="s">
        <v>1477</v>
      </c>
      <c r="K254" s="1088"/>
      <c r="L254" s="1583"/>
      <c r="M254" s="1584"/>
      <c r="N254" s="1085"/>
      <c r="O254" s="1090"/>
      <c r="P254" s="1090"/>
      <c r="Q254" s="1090"/>
      <c r="R254" s="1091"/>
      <c r="S254" s="1090"/>
      <c r="T254" s="236">
        <v>1</v>
      </c>
      <c r="U254" s="236">
        <f t="shared" si="334"/>
        <v>0</v>
      </c>
      <c r="V254" s="1684">
        <f t="shared" si="330"/>
        <v>0</v>
      </c>
      <c r="W254" s="424">
        <v>0.2</v>
      </c>
      <c r="X254" s="424">
        <v>0.2</v>
      </c>
      <c r="Y254" s="545">
        <v>100000000</v>
      </c>
      <c r="Z254" s="289">
        <v>0</v>
      </c>
      <c r="AA254" s="512">
        <v>98116308</v>
      </c>
      <c r="AB254" s="1095">
        <f t="shared" si="255"/>
        <v>0.98116307999999997</v>
      </c>
      <c r="AC254" s="512">
        <v>91887325</v>
      </c>
      <c r="AD254" s="1104">
        <f t="shared" si="260"/>
        <v>0.91887324999999997</v>
      </c>
      <c r="AE254" s="1601">
        <f>+AA254-AC254</f>
        <v>6228983</v>
      </c>
      <c r="AF254" s="1571">
        <v>0</v>
      </c>
      <c r="AG254" s="289">
        <v>0</v>
      </c>
      <c r="AH254" s="1097" t="e">
        <f t="shared" si="261"/>
        <v>#DIV/0!</v>
      </c>
      <c r="AI254" s="1603">
        <f t="shared" si="335"/>
        <v>474000000</v>
      </c>
      <c r="AJ254" s="1603">
        <f t="shared" si="331"/>
        <v>98116308</v>
      </c>
      <c r="AK254" s="894">
        <f t="shared" si="262"/>
        <v>0.20699643037974683</v>
      </c>
      <c r="AL254" s="162"/>
      <c r="AM254" s="155"/>
      <c r="AN254" s="151" t="s">
        <v>302</v>
      </c>
      <c r="AO254" s="1900" t="s">
        <v>895</v>
      </c>
      <c r="AP254" s="98"/>
      <c r="AQ254" s="98"/>
    </row>
    <row r="255" spans="1:43" ht="63.75" x14ac:dyDescent="0.25">
      <c r="A255" s="269" t="s">
        <v>681</v>
      </c>
      <c r="B255" s="360" t="s">
        <v>852</v>
      </c>
      <c r="C255" s="388">
        <v>0</v>
      </c>
      <c r="D255" s="321">
        <v>0.1</v>
      </c>
      <c r="E255" s="1582">
        <v>0</v>
      </c>
      <c r="F255" s="558">
        <v>0</v>
      </c>
      <c r="G255" s="558"/>
      <c r="H255" s="598" t="e">
        <f t="shared" si="332"/>
        <v>#DIV/0!</v>
      </c>
      <c r="I255" s="1096">
        <f t="shared" si="333"/>
        <v>0</v>
      </c>
      <c r="J255" s="604" t="s">
        <v>1477</v>
      </c>
      <c r="K255" s="1088"/>
      <c r="L255" s="1583"/>
      <c r="M255" s="1584"/>
      <c r="N255" s="1085"/>
      <c r="O255" s="1090"/>
      <c r="P255" s="1090"/>
      <c r="Q255" s="1090"/>
      <c r="R255" s="1091"/>
      <c r="S255" s="1090"/>
      <c r="T255" s="236">
        <v>1</v>
      </c>
      <c r="U255" s="236">
        <f t="shared" si="334"/>
        <v>0</v>
      </c>
      <c r="V255" s="1684">
        <f t="shared" si="330"/>
        <v>0</v>
      </c>
      <c r="W255" s="424">
        <v>0.2</v>
      </c>
      <c r="X255" s="424">
        <v>0.2</v>
      </c>
      <c r="Y255" s="545">
        <v>100000000</v>
      </c>
      <c r="Z255" s="289">
        <v>0</v>
      </c>
      <c r="AA255" s="512">
        <v>98116308</v>
      </c>
      <c r="AB255" s="1095">
        <f t="shared" si="255"/>
        <v>0.98116307999999997</v>
      </c>
      <c r="AC255" s="512">
        <v>91887325</v>
      </c>
      <c r="AD255" s="1104">
        <f t="shared" si="260"/>
        <v>0.91887324999999997</v>
      </c>
      <c r="AE255" s="1601">
        <f>+AA255-AC255</f>
        <v>6228983</v>
      </c>
      <c r="AF255" s="1571">
        <v>0</v>
      </c>
      <c r="AG255" s="289">
        <v>0</v>
      </c>
      <c r="AH255" s="1097" t="e">
        <f t="shared" si="261"/>
        <v>#DIV/0!</v>
      </c>
      <c r="AI255" s="1603">
        <f t="shared" si="335"/>
        <v>474000000</v>
      </c>
      <c r="AJ255" s="1603">
        <f t="shared" si="331"/>
        <v>98116308</v>
      </c>
      <c r="AK255" s="894">
        <f t="shared" si="262"/>
        <v>0.20699643037974683</v>
      </c>
      <c r="AL255" s="162"/>
      <c r="AM255" s="155"/>
      <c r="AN255" s="151" t="s">
        <v>302</v>
      </c>
      <c r="AO255" s="1898"/>
      <c r="AP255" s="98"/>
      <c r="AQ255" s="98"/>
    </row>
    <row r="256" spans="1:43" ht="38.25" x14ac:dyDescent="0.25">
      <c r="A256" s="269" t="s">
        <v>682</v>
      </c>
      <c r="B256" s="360" t="s">
        <v>853</v>
      </c>
      <c r="C256" s="388">
        <v>0</v>
      </c>
      <c r="D256" s="321">
        <v>1</v>
      </c>
      <c r="E256" s="1582">
        <v>0</v>
      </c>
      <c r="F256" s="558">
        <v>0</v>
      </c>
      <c r="G256" s="558"/>
      <c r="H256" s="598" t="e">
        <f t="shared" si="332"/>
        <v>#DIV/0!</v>
      </c>
      <c r="I256" s="1096">
        <f t="shared" si="333"/>
        <v>0</v>
      </c>
      <c r="J256" s="1099" t="s">
        <v>1039</v>
      </c>
      <c r="K256" s="1088"/>
      <c r="L256" s="1583"/>
      <c r="M256" s="1584"/>
      <c r="N256" s="1085"/>
      <c r="O256" s="1090"/>
      <c r="P256" s="1090"/>
      <c r="Q256" s="1090"/>
      <c r="R256" s="1091"/>
      <c r="S256" s="1090"/>
      <c r="T256" s="236">
        <v>3</v>
      </c>
      <c r="U256" s="236">
        <f t="shared" si="334"/>
        <v>0</v>
      </c>
      <c r="V256" s="1684">
        <f t="shared" si="330"/>
        <v>0</v>
      </c>
      <c r="W256" s="424">
        <v>0.1</v>
      </c>
      <c r="X256" s="1093">
        <v>0.1</v>
      </c>
      <c r="Y256" s="546">
        <v>90000000</v>
      </c>
      <c r="Z256" s="289">
        <v>0</v>
      </c>
      <c r="AA256" s="512">
        <v>87537426</v>
      </c>
      <c r="AB256" s="1095">
        <f t="shared" si="255"/>
        <v>0.97263806666666663</v>
      </c>
      <c r="AC256" s="512">
        <v>82040996</v>
      </c>
      <c r="AD256" s="1104">
        <f t="shared" si="260"/>
        <v>0.91156662222222218</v>
      </c>
      <c r="AE256" s="1601">
        <f>+AA256-AC256</f>
        <v>5496430</v>
      </c>
      <c r="AF256" s="1571">
        <v>0</v>
      </c>
      <c r="AG256" s="289">
        <v>0</v>
      </c>
      <c r="AH256" s="1097" t="e">
        <f t="shared" si="261"/>
        <v>#DIV/0!</v>
      </c>
      <c r="AI256" s="1603">
        <v>200000000</v>
      </c>
      <c r="AJ256" s="1603">
        <f t="shared" si="331"/>
        <v>87537426</v>
      </c>
      <c r="AK256" s="894">
        <f t="shared" si="262"/>
        <v>0.43768712999999998</v>
      </c>
      <c r="AL256" s="162"/>
      <c r="AM256" s="155"/>
      <c r="AN256" s="151" t="s">
        <v>302</v>
      </c>
      <c r="AO256" s="1796" t="s">
        <v>895</v>
      </c>
      <c r="AP256" s="98"/>
      <c r="AQ256" s="98"/>
    </row>
    <row r="257" spans="1:43" x14ac:dyDescent="0.25">
      <c r="A257" s="241" t="s">
        <v>503</v>
      </c>
      <c r="B257" s="140"/>
      <c r="C257" s="141"/>
      <c r="D257" s="187"/>
      <c r="E257" s="181"/>
      <c r="F257" s="141"/>
      <c r="G257" s="141"/>
      <c r="H257" s="142">
        <f>+SUMPRODUCT(H258:H259,W258:W259)</f>
        <v>1</v>
      </c>
      <c r="I257" s="157">
        <f>+SUMPRODUCT(I258:I259,X258:X259)</f>
        <v>1</v>
      </c>
      <c r="J257" s="101"/>
      <c r="K257" s="571"/>
      <c r="L257" s="143"/>
      <c r="M257" s="144"/>
      <c r="N257" s="144"/>
      <c r="O257" s="172"/>
      <c r="P257" s="172"/>
      <c r="Q257" s="172"/>
      <c r="R257" s="158"/>
      <c r="S257" s="172"/>
      <c r="T257" s="1439"/>
      <c r="U257" s="202"/>
      <c r="V257" s="165">
        <f>+SUMPRODUCT(V258:V259,W258:W259)</f>
        <v>0.63200000000000001</v>
      </c>
      <c r="W257" s="142">
        <v>0.4</v>
      </c>
      <c r="X257" s="394">
        <v>0.4</v>
      </c>
      <c r="Y257" s="559">
        <f>SUM(Y258:Y259)</f>
        <v>225000000</v>
      </c>
      <c r="Z257" s="559">
        <f>SUM(Z258:Z259)</f>
        <v>58000000</v>
      </c>
      <c r="AA257" s="559">
        <f>SUM(AA258:AA259)</f>
        <v>221576882</v>
      </c>
      <c r="AB257" s="207">
        <f t="shared" si="255"/>
        <v>0.98478614222222227</v>
      </c>
      <c r="AC257" s="559">
        <f>SUM(AC258:AC259)</f>
        <v>149150353</v>
      </c>
      <c r="AD257" s="556">
        <f t="shared" si="260"/>
        <v>0.66289045777777778</v>
      </c>
      <c r="AE257" s="1229">
        <f>SUM(AE258:AE259)</f>
        <v>72426529</v>
      </c>
      <c r="AF257" s="144">
        <f>SUM(AF258:AF259)</f>
        <v>14000000</v>
      </c>
      <c r="AG257" s="559">
        <f>SUM(AG258:AG259)</f>
        <v>14000000</v>
      </c>
      <c r="AH257" s="505">
        <f t="shared" si="261"/>
        <v>1</v>
      </c>
      <c r="AI257" s="559">
        <f t="shared" ref="AI257" si="336">SUM(AI258:AI259)</f>
        <v>1550000000</v>
      </c>
      <c r="AJ257" s="559">
        <f>SUM(AJ258:AJ259)</f>
        <v>279576882</v>
      </c>
      <c r="AK257" s="1227">
        <f t="shared" si="262"/>
        <v>0.18037218193548388</v>
      </c>
      <c r="AL257" s="166"/>
      <c r="AM257" s="159"/>
      <c r="AN257" s="482"/>
      <c r="AO257" s="1229"/>
      <c r="AP257" s="101"/>
      <c r="AQ257" s="101"/>
    </row>
    <row r="258" spans="1:43" ht="51" x14ac:dyDescent="0.25">
      <c r="A258" s="270" t="s">
        <v>683</v>
      </c>
      <c r="B258" s="363" t="s">
        <v>854</v>
      </c>
      <c r="C258" s="391">
        <v>0.2</v>
      </c>
      <c r="D258" s="323">
        <v>0.5</v>
      </c>
      <c r="E258" s="240">
        <v>0.2</v>
      </c>
      <c r="F258" s="600">
        <v>0.5</v>
      </c>
      <c r="G258" s="558"/>
      <c r="H258" s="598">
        <f t="shared" ref="H258:H259" si="337">IF((E258+G258)/C258&gt;=100%,100%,(E258+G258)/C258)</f>
        <v>1</v>
      </c>
      <c r="I258" s="1096">
        <f t="shared" ref="I258:I259" si="338">IF(F258/D258&gt;=100%,100%,F258/D258)</f>
        <v>1</v>
      </c>
      <c r="J258" s="604" t="s">
        <v>1040</v>
      </c>
      <c r="K258" s="1088"/>
      <c r="L258" s="1583"/>
      <c r="M258" s="1584"/>
      <c r="N258" s="1085"/>
      <c r="O258" s="1090"/>
      <c r="P258" s="1090"/>
      <c r="Q258" s="1090"/>
      <c r="R258" s="1091"/>
      <c r="S258" s="1090"/>
      <c r="T258" s="238">
        <v>1</v>
      </c>
      <c r="U258" s="598">
        <f>SUM(E258:G258)</f>
        <v>0.7</v>
      </c>
      <c r="V258" s="1684">
        <f t="shared" ref="V258:V259" si="339">IF(U258/T258&gt;=100%,100%,U258/T258)</f>
        <v>0.7</v>
      </c>
      <c r="W258" s="1699">
        <v>0.6</v>
      </c>
      <c r="X258" s="1714">
        <v>0.6</v>
      </c>
      <c r="Y258" s="545">
        <v>130000000</v>
      </c>
      <c r="Z258" s="289">
        <v>12000000</v>
      </c>
      <c r="AA258" s="545">
        <v>127819314</v>
      </c>
      <c r="AB258" s="1095">
        <f t="shared" si="255"/>
        <v>0.98322549230769229</v>
      </c>
      <c r="AC258" s="545">
        <v>61201252</v>
      </c>
      <c r="AD258" s="894">
        <f t="shared" si="260"/>
        <v>0.47077886153846155</v>
      </c>
      <c r="AE258" s="1601">
        <f>+AA258-AC258</f>
        <v>66618062</v>
      </c>
      <c r="AF258" s="1571">
        <v>0</v>
      </c>
      <c r="AG258" s="289">
        <v>0</v>
      </c>
      <c r="AH258" s="1097" t="e">
        <f t="shared" si="261"/>
        <v>#DIV/0!</v>
      </c>
      <c r="AI258" s="1603">
        <v>1100000000</v>
      </c>
      <c r="AJ258" s="1603">
        <f t="shared" si="331"/>
        <v>139819314</v>
      </c>
      <c r="AK258" s="894">
        <f t="shared" si="262"/>
        <v>0.12710846727272726</v>
      </c>
      <c r="AL258" s="1615"/>
      <c r="AM258" s="1604"/>
      <c r="AN258" s="151" t="s">
        <v>302</v>
      </c>
      <c r="AO258" s="1801" t="s">
        <v>895</v>
      </c>
      <c r="AP258" s="98"/>
      <c r="AQ258" s="98"/>
    </row>
    <row r="259" spans="1:43" ht="51.75" thickBot="1" x14ac:dyDescent="0.3">
      <c r="A259" s="606" t="s">
        <v>684</v>
      </c>
      <c r="B259" s="673" t="s">
        <v>29</v>
      </c>
      <c r="C259" s="674">
        <v>1</v>
      </c>
      <c r="D259" s="675">
        <v>1</v>
      </c>
      <c r="E259" s="676">
        <v>0.96</v>
      </c>
      <c r="F259" s="1105">
        <v>1</v>
      </c>
      <c r="G259" s="1105">
        <v>0.16</v>
      </c>
      <c r="H259" s="894">
        <f t="shared" si="337"/>
        <v>1</v>
      </c>
      <c r="I259" s="1104">
        <f t="shared" si="338"/>
        <v>1</v>
      </c>
      <c r="J259" s="604" t="s">
        <v>1104</v>
      </c>
      <c r="K259" s="1088"/>
      <c r="L259" s="1641"/>
      <c r="M259" s="1642"/>
      <c r="N259" s="1640"/>
      <c r="O259" s="1090"/>
      <c r="P259" s="1090"/>
      <c r="Q259" s="1090"/>
      <c r="R259" s="1643"/>
      <c r="S259" s="1090"/>
      <c r="T259" s="651">
        <v>4</v>
      </c>
      <c r="U259" s="894">
        <f>SUM(E259:G259)</f>
        <v>2.12</v>
      </c>
      <c r="V259" s="1679">
        <f t="shared" si="339"/>
        <v>0.53</v>
      </c>
      <c r="W259" s="1654">
        <v>0.4</v>
      </c>
      <c r="X259" s="1673">
        <v>0.4</v>
      </c>
      <c r="Y259" s="678">
        <v>95000000</v>
      </c>
      <c r="Z259" s="579">
        <v>46000000</v>
      </c>
      <c r="AA259" s="678">
        <v>93757568</v>
      </c>
      <c r="AB259" s="1610">
        <f t="shared" si="255"/>
        <v>0.98692176842105261</v>
      </c>
      <c r="AC259" s="678">
        <v>87949101</v>
      </c>
      <c r="AD259" s="1104">
        <f t="shared" si="260"/>
        <v>0.92578001052631576</v>
      </c>
      <c r="AE259" s="1611">
        <f>+AA259-AC259</f>
        <v>5808467</v>
      </c>
      <c r="AF259" s="1570">
        <v>14000000</v>
      </c>
      <c r="AG259" s="579">
        <v>14000000</v>
      </c>
      <c r="AH259" s="1612">
        <f t="shared" si="261"/>
        <v>1</v>
      </c>
      <c r="AI259" s="1614">
        <v>450000000</v>
      </c>
      <c r="AJ259" s="1614">
        <f t="shared" si="331"/>
        <v>139757568</v>
      </c>
      <c r="AK259" s="894">
        <f t="shared" si="262"/>
        <v>0.31057237333333332</v>
      </c>
      <c r="AL259" s="1615"/>
      <c r="AM259" s="1615"/>
      <c r="AN259" s="589" t="s">
        <v>29</v>
      </c>
      <c r="AO259" s="1797" t="s">
        <v>895</v>
      </c>
      <c r="AP259" s="594"/>
      <c r="AQ259" s="594"/>
    </row>
    <row r="260" spans="1:43" s="554" customFormat="1" ht="51.75" thickBot="1" x14ac:dyDescent="0.3">
      <c r="A260" s="628" t="s">
        <v>449</v>
      </c>
      <c r="B260" s="629"/>
      <c r="C260" s="630"/>
      <c r="D260" s="631"/>
      <c r="E260" s="632"/>
      <c r="F260" s="630"/>
      <c r="G260" s="679"/>
      <c r="H260" s="633">
        <f>+(H261*100%)</f>
        <v>0.5</v>
      </c>
      <c r="I260" s="644">
        <f>+(I261*X261)+(I266*X266)+(I268*X268)</f>
        <v>0.3</v>
      </c>
      <c r="J260" s="634"/>
      <c r="K260" s="635"/>
      <c r="L260" s="636"/>
      <c r="M260" s="637"/>
      <c r="N260" s="637"/>
      <c r="O260" s="638"/>
      <c r="P260" s="638"/>
      <c r="Q260" s="638"/>
      <c r="R260" s="639"/>
      <c r="S260" s="638"/>
      <c r="T260" s="640"/>
      <c r="U260" s="641"/>
      <c r="V260" s="680">
        <f>+(V261*W261)+(V266*W266)+(V268*W268)</f>
        <v>0.22499999999999998</v>
      </c>
      <c r="W260" s="646">
        <v>0.09</v>
      </c>
      <c r="X260" s="657">
        <v>0.09</v>
      </c>
      <c r="Y260" s="642">
        <f>+Y261+Y266+Y268</f>
        <v>355000000</v>
      </c>
      <c r="Z260" s="642">
        <f>+Z261+Z266+Z268</f>
        <v>211626200</v>
      </c>
      <c r="AA260" s="642">
        <f>+AA261+AA266+AA268</f>
        <v>253384705</v>
      </c>
      <c r="AB260" s="643">
        <f t="shared" si="255"/>
        <v>0.71375973239436619</v>
      </c>
      <c r="AC260" s="642">
        <f>+AC261+AC266+AC268</f>
        <v>163299560</v>
      </c>
      <c r="AD260" s="646">
        <f t="shared" si="260"/>
        <v>0.45999876056338029</v>
      </c>
      <c r="AE260" s="629">
        <f>+AE261+AE266+AE268</f>
        <v>90085145</v>
      </c>
      <c r="AF260" s="637">
        <f>+AF261+AF266+AF268</f>
        <v>117400000</v>
      </c>
      <c r="AG260" s="642">
        <f>+AG261+AG266+AG268</f>
        <v>115536666</v>
      </c>
      <c r="AH260" s="645">
        <f t="shared" si="261"/>
        <v>0.98412833049403747</v>
      </c>
      <c r="AI260" s="642">
        <f t="shared" ref="AI260" si="340">+AI261+AI266+AI268</f>
        <v>1750000000</v>
      </c>
      <c r="AJ260" s="642">
        <f>+AJ261+AJ266+AJ268</f>
        <v>465010905</v>
      </c>
      <c r="AK260" s="646">
        <f t="shared" si="262"/>
        <v>0.26572051714285716</v>
      </c>
      <c r="AL260" s="636"/>
      <c r="AM260" s="636" t="s">
        <v>301</v>
      </c>
      <c r="AN260" s="637"/>
      <c r="AO260" s="629"/>
      <c r="AP260" s="634"/>
      <c r="AQ260" s="634"/>
    </row>
    <row r="261" spans="1:43" ht="25.5" x14ac:dyDescent="0.25">
      <c r="A261" s="252" t="s">
        <v>504</v>
      </c>
      <c r="B261" s="344"/>
      <c r="C261" s="611"/>
      <c r="D261" s="612"/>
      <c r="E261" s="613"/>
      <c r="F261" s="611"/>
      <c r="G261" s="611"/>
      <c r="H261" s="622">
        <f>+SUMPRODUCT(H262:H265,W262:W265)</f>
        <v>0.5</v>
      </c>
      <c r="I261" s="1162">
        <f>+SUMPRODUCT(I262:I265,X262:X265)</f>
        <v>0.5</v>
      </c>
      <c r="J261" s="1164"/>
      <c r="K261" s="615"/>
      <c r="L261" s="196"/>
      <c r="M261" s="590"/>
      <c r="N261" s="590"/>
      <c r="O261" s="616"/>
      <c r="P261" s="616"/>
      <c r="Q261" s="616"/>
      <c r="R261" s="617"/>
      <c r="S261" s="616"/>
      <c r="T261" s="618"/>
      <c r="U261" s="202"/>
      <c r="V261" s="656">
        <f>+SUMPRODUCT(V262:V265,W262:W265)</f>
        <v>0.375</v>
      </c>
      <c r="W261" s="220">
        <v>0.6</v>
      </c>
      <c r="X261" s="220">
        <v>0.6</v>
      </c>
      <c r="Y261" s="620">
        <f>SUM(Y262:Y265)</f>
        <v>180000000</v>
      </c>
      <c r="Z261" s="620">
        <f>SUM(Z262:Z265)</f>
        <v>201626200</v>
      </c>
      <c r="AA261" s="620">
        <f>SUM(AA262:AA265)</f>
        <v>163189902</v>
      </c>
      <c r="AB261" s="621">
        <f t="shared" si="255"/>
        <v>0.90661056666666662</v>
      </c>
      <c r="AC261" s="620">
        <f>SUM(AC262:AC265)</f>
        <v>133732128</v>
      </c>
      <c r="AD261" s="666">
        <f t="shared" si="260"/>
        <v>0.7429562666666667</v>
      </c>
      <c r="AE261" s="1518">
        <f>SUM(AE262:AE265)</f>
        <v>29457774</v>
      </c>
      <c r="AF261" s="590">
        <f>SUM(AF262:AF265)</f>
        <v>117400000</v>
      </c>
      <c r="AG261" s="620">
        <f>SUM(AG262:AG265)</f>
        <v>115536666</v>
      </c>
      <c r="AH261" s="505">
        <f t="shared" si="261"/>
        <v>0.98412833049403747</v>
      </c>
      <c r="AI261" s="620">
        <f t="shared" ref="AI261" si="341">SUM(AI262:AI265)</f>
        <v>1000000000</v>
      </c>
      <c r="AJ261" s="620">
        <f>SUM(AJ262:AJ265)</f>
        <v>364816102</v>
      </c>
      <c r="AK261" s="1696">
        <f t="shared" si="262"/>
        <v>0.36481610199999998</v>
      </c>
      <c r="AL261" s="624"/>
      <c r="AM261" s="625"/>
      <c r="AN261" s="626"/>
      <c r="AO261" s="1518"/>
      <c r="AP261" s="627"/>
      <c r="AQ261" s="627"/>
    </row>
    <row r="262" spans="1:43" ht="51" x14ac:dyDescent="0.25">
      <c r="A262" s="268" t="s">
        <v>685</v>
      </c>
      <c r="B262" s="359" t="s">
        <v>855</v>
      </c>
      <c r="C262" s="386">
        <v>1</v>
      </c>
      <c r="D262" s="319">
        <v>1</v>
      </c>
      <c r="E262" s="233">
        <v>1</v>
      </c>
      <c r="F262" s="147">
        <v>1</v>
      </c>
      <c r="G262" s="147"/>
      <c r="H262" s="167">
        <f t="shared" ref="H262:H265" si="342">IF((E262+G262)/C262&gt;=100%,100%,(E262+G262)/C262)</f>
        <v>1</v>
      </c>
      <c r="I262" s="1161">
        <f t="shared" ref="I262:I265" si="343">IF(F262/D262&gt;=100%,100%,F262/D262)</f>
        <v>1</v>
      </c>
      <c r="J262" s="594" t="s">
        <v>1041</v>
      </c>
      <c r="K262" s="569"/>
      <c r="L262" s="102"/>
      <c r="M262" s="104"/>
      <c r="N262" s="146"/>
      <c r="O262" s="173"/>
      <c r="P262" s="173"/>
      <c r="Q262" s="173"/>
      <c r="R262" s="150"/>
      <c r="S262" s="173"/>
      <c r="T262" s="194">
        <v>4</v>
      </c>
      <c r="U262" s="195">
        <f>SUM(E262:G262)</f>
        <v>2</v>
      </c>
      <c r="V262" s="170">
        <f t="shared" ref="V262:V265" si="344">IF(U262/T262&gt;=100%,100%,U262/T262)</f>
        <v>0.5</v>
      </c>
      <c r="W262" s="188">
        <v>0.25</v>
      </c>
      <c r="X262" s="397">
        <v>0.25</v>
      </c>
      <c r="Y262" s="511">
        <v>45000000</v>
      </c>
      <c r="Z262" s="289">
        <v>40800000</v>
      </c>
      <c r="AA262" s="511">
        <v>36251938</v>
      </c>
      <c r="AB262" s="208">
        <f t="shared" si="255"/>
        <v>0.80559862222222223</v>
      </c>
      <c r="AC262" s="511">
        <v>33612905</v>
      </c>
      <c r="AD262" s="557">
        <f t="shared" si="260"/>
        <v>0.74695344444444445</v>
      </c>
      <c r="AE262" s="154">
        <f>+AA262-AC262</f>
        <v>2639033</v>
      </c>
      <c r="AF262" s="1571">
        <v>5100000</v>
      </c>
      <c r="AG262" s="289">
        <v>5100000</v>
      </c>
      <c r="AH262" s="506">
        <f t="shared" si="261"/>
        <v>1</v>
      </c>
      <c r="AI262" s="198">
        <f>1000000000/4</f>
        <v>250000000</v>
      </c>
      <c r="AJ262" s="198">
        <f t="shared" ref="AJ262:AJ269" si="345">+SUM(Z262:AA262)</f>
        <v>77051938</v>
      </c>
      <c r="AK262" s="894">
        <f t="shared" si="262"/>
        <v>0.308207752</v>
      </c>
      <c r="AL262" s="162"/>
      <c r="AM262" s="155"/>
      <c r="AN262" s="151" t="s">
        <v>302</v>
      </c>
      <c r="AO262" s="1896" t="s">
        <v>895</v>
      </c>
      <c r="AP262" s="98"/>
      <c r="AQ262" s="98"/>
    </row>
    <row r="263" spans="1:43" ht="38.25" x14ac:dyDescent="0.25">
      <c r="A263" s="268" t="s">
        <v>686</v>
      </c>
      <c r="B263" s="359" t="s">
        <v>856</v>
      </c>
      <c r="C263" s="386">
        <v>1</v>
      </c>
      <c r="D263" s="319">
        <v>1</v>
      </c>
      <c r="E263" s="233">
        <v>1</v>
      </c>
      <c r="F263" s="558">
        <v>1</v>
      </c>
      <c r="G263" s="558"/>
      <c r="H263" s="598">
        <f t="shared" si="342"/>
        <v>1</v>
      </c>
      <c r="I263" s="1694">
        <f t="shared" si="343"/>
        <v>1</v>
      </c>
      <c r="J263" s="1099" t="s">
        <v>1130</v>
      </c>
      <c r="K263" s="1088"/>
      <c r="L263" s="1641"/>
      <c r="M263" s="1642"/>
      <c r="N263" s="1085"/>
      <c r="O263" s="1090"/>
      <c r="P263" s="1090"/>
      <c r="Q263" s="1090"/>
      <c r="R263" s="1091"/>
      <c r="S263" s="1090"/>
      <c r="T263" s="1691">
        <v>1</v>
      </c>
      <c r="U263" s="599">
        <f t="shared" ref="U263:U265" si="346">SUM(E263:G263)</f>
        <v>2</v>
      </c>
      <c r="V263" s="1684">
        <f t="shared" si="344"/>
        <v>1</v>
      </c>
      <c r="W263" s="1699">
        <v>0.25</v>
      </c>
      <c r="X263" s="1714">
        <v>0.25</v>
      </c>
      <c r="Y263" s="511">
        <v>45000000</v>
      </c>
      <c r="Z263" s="289">
        <v>47326200</v>
      </c>
      <c r="AA263" s="511">
        <v>44534088</v>
      </c>
      <c r="AB263" s="1095">
        <f t="shared" si="255"/>
        <v>0.98964640000000004</v>
      </c>
      <c r="AC263" s="511">
        <v>42993413</v>
      </c>
      <c r="AD263" s="1104">
        <f t="shared" si="260"/>
        <v>0.95540917777777778</v>
      </c>
      <c r="AE263" s="1601">
        <f>+AA263-AC263</f>
        <v>1540675</v>
      </c>
      <c r="AF263" s="1571">
        <v>8000000</v>
      </c>
      <c r="AG263" s="289">
        <v>8000000</v>
      </c>
      <c r="AH263" s="1097">
        <f t="shared" si="261"/>
        <v>1</v>
      </c>
      <c r="AI263" s="1603">
        <f t="shared" ref="AI263:AI265" si="347">1000000000/4</f>
        <v>250000000</v>
      </c>
      <c r="AJ263" s="1603">
        <f t="shared" si="345"/>
        <v>91860288</v>
      </c>
      <c r="AK263" s="894">
        <f t="shared" si="262"/>
        <v>0.36744115199999999</v>
      </c>
      <c r="AL263" s="1615"/>
      <c r="AM263" s="1604"/>
      <c r="AN263" s="601" t="s">
        <v>302</v>
      </c>
      <c r="AO263" s="1897"/>
      <c r="AP263" s="98"/>
      <c r="AQ263" s="98"/>
    </row>
    <row r="264" spans="1:43" ht="135" x14ac:dyDescent="0.25">
      <c r="A264" s="268" t="s">
        <v>687</v>
      </c>
      <c r="B264" s="359" t="s">
        <v>857</v>
      </c>
      <c r="C264" s="386">
        <v>0.1</v>
      </c>
      <c r="D264" s="319">
        <v>1</v>
      </c>
      <c r="E264" s="233">
        <v>0</v>
      </c>
      <c r="F264" s="558">
        <v>0</v>
      </c>
      <c r="G264" s="558"/>
      <c r="H264" s="598">
        <f t="shared" si="342"/>
        <v>0</v>
      </c>
      <c r="I264" s="1694">
        <f t="shared" si="343"/>
        <v>0</v>
      </c>
      <c r="J264" s="1715" t="s">
        <v>1478</v>
      </c>
      <c r="K264" s="1088"/>
      <c r="L264" s="1641"/>
      <c r="M264" s="1642"/>
      <c r="N264" s="1085"/>
      <c r="O264" s="1090"/>
      <c r="P264" s="1090"/>
      <c r="Q264" s="1090"/>
      <c r="R264" s="1091"/>
      <c r="S264" s="1090"/>
      <c r="T264" s="1691">
        <v>1</v>
      </c>
      <c r="U264" s="599">
        <f t="shared" si="346"/>
        <v>0</v>
      </c>
      <c r="V264" s="1684">
        <f t="shared" si="344"/>
        <v>0</v>
      </c>
      <c r="W264" s="1699">
        <v>0.25</v>
      </c>
      <c r="X264" s="1714">
        <v>0.25</v>
      </c>
      <c r="Y264" s="510">
        <v>45000000</v>
      </c>
      <c r="Z264" s="289">
        <v>56750000</v>
      </c>
      <c r="AA264" s="511">
        <v>40701938</v>
      </c>
      <c r="AB264" s="1095">
        <f t="shared" ref="AB264:AB292" si="348">+AA264/Y264</f>
        <v>0.90448751111111114</v>
      </c>
      <c r="AC264" s="511">
        <v>28062905</v>
      </c>
      <c r="AD264" s="1104">
        <f t="shared" si="260"/>
        <v>0.62362011111111115</v>
      </c>
      <c r="AE264" s="1601">
        <f>+AA264-AC264</f>
        <v>12639033</v>
      </c>
      <c r="AF264" s="1571">
        <v>51850000</v>
      </c>
      <c r="AG264" s="289">
        <v>50000000</v>
      </c>
      <c r="AH264" s="1097">
        <f t="shared" si="261"/>
        <v>0.96432015429122464</v>
      </c>
      <c r="AI264" s="1603">
        <f t="shared" si="347"/>
        <v>250000000</v>
      </c>
      <c r="AJ264" s="1603">
        <f t="shared" si="345"/>
        <v>97451938</v>
      </c>
      <c r="AK264" s="894">
        <f t="shared" si="262"/>
        <v>0.38980775200000001</v>
      </c>
      <c r="AL264" s="1615"/>
      <c r="AM264" s="1604"/>
      <c r="AN264" s="601" t="s">
        <v>302</v>
      </c>
      <c r="AO264" s="1897"/>
      <c r="AP264" s="98"/>
      <c r="AQ264" s="98"/>
    </row>
    <row r="265" spans="1:43" ht="135" x14ac:dyDescent="0.25">
      <c r="A265" s="271" t="s">
        <v>688</v>
      </c>
      <c r="B265" s="239" t="s">
        <v>858</v>
      </c>
      <c r="C265" s="386">
        <v>0.1</v>
      </c>
      <c r="D265" s="319">
        <v>1</v>
      </c>
      <c r="E265" s="233">
        <v>0</v>
      </c>
      <c r="F265" s="558">
        <v>0</v>
      </c>
      <c r="G265" s="558"/>
      <c r="H265" s="598">
        <f t="shared" si="342"/>
        <v>0</v>
      </c>
      <c r="I265" s="1694">
        <f t="shared" si="343"/>
        <v>0</v>
      </c>
      <c r="J265" s="1716" t="s">
        <v>1478</v>
      </c>
      <c r="K265" s="1088"/>
      <c r="L265" s="1641"/>
      <c r="M265" s="1642"/>
      <c r="N265" s="1085"/>
      <c r="O265" s="1090"/>
      <c r="P265" s="1090"/>
      <c r="Q265" s="1090"/>
      <c r="R265" s="1091"/>
      <c r="S265" s="1090"/>
      <c r="T265" s="1691">
        <v>1</v>
      </c>
      <c r="U265" s="599">
        <f t="shared" si="346"/>
        <v>0</v>
      </c>
      <c r="V265" s="1684">
        <f t="shared" si="344"/>
        <v>0</v>
      </c>
      <c r="W265" s="1699">
        <v>0.25</v>
      </c>
      <c r="X265" s="1714">
        <v>0.25</v>
      </c>
      <c r="Y265" s="547">
        <v>45000000</v>
      </c>
      <c r="Z265" s="289">
        <v>56750000</v>
      </c>
      <c r="AA265" s="511">
        <v>41701938</v>
      </c>
      <c r="AB265" s="1095">
        <f t="shared" si="348"/>
        <v>0.92670973333333329</v>
      </c>
      <c r="AC265" s="511">
        <v>29062905</v>
      </c>
      <c r="AD265" s="1104">
        <f t="shared" ref="AD265:AD296" si="349">+AC265/Y265</f>
        <v>0.6458423333333333</v>
      </c>
      <c r="AE265" s="1601">
        <f>+AA265-AC265</f>
        <v>12639033</v>
      </c>
      <c r="AF265" s="1571">
        <v>52450000</v>
      </c>
      <c r="AG265" s="289">
        <v>52436666</v>
      </c>
      <c r="AH265" s="1097">
        <f t="shared" ref="AH265:AH296" si="350">+AG265/AF265</f>
        <v>0.99974577693040989</v>
      </c>
      <c r="AI265" s="1603">
        <f t="shared" si="347"/>
        <v>250000000</v>
      </c>
      <c r="AJ265" s="1603">
        <f t="shared" si="345"/>
        <v>98451938</v>
      </c>
      <c r="AK265" s="894">
        <f t="shared" ref="AK265:AK296" si="351">+AJ265/AI265</f>
        <v>0.39380775200000001</v>
      </c>
      <c r="AL265" s="1615"/>
      <c r="AM265" s="1604"/>
      <c r="AN265" s="601" t="s">
        <v>302</v>
      </c>
      <c r="AO265" s="1898"/>
      <c r="AP265" s="98"/>
      <c r="AQ265" s="98"/>
    </row>
    <row r="266" spans="1:43" x14ac:dyDescent="0.25">
      <c r="A266" s="241" t="s">
        <v>505</v>
      </c>
      <c r="B266" s="140"/>
      <c r="C266" s="141"/>
      <c r="D266" s="187"/>
      <c r="E266" s="181"/>
      <c r="F266" s="141"/>
      <c r="G266" s="141"/>
      <c r="H266" s="142">
        <f>+H267*100%</f>
        <v>0</v>
      </c>
      <c r="I266" s="1163">
        <f>+(I267*X267)</f>
        <v>0</v>
      </c>
      <c r="J266" s="101"/>
      <c r="K266" s="571"/>
      <c r="L266" s="143"/>
      <c r="M266" s="144"/>
      <c r="N266" s="144"/>
      <c r="O266" s="172"/>
      <c r="P266" s="172"/>
      <c r="Q266" s="172"/>
      <c r="R266" s="158"/>
      <c r="S266" s="172"/>
      <c r="T266" s="193"/>
      <c r="U266" s="202"/>
      <c r="V266" s="165">
        <f>+(V267*W267)</f>
        <v>0</v>
      </c>
      <c r="W266" s="142">
        <v>0.2</v>
      </c>
      <c r="X266" s="394">
        <v>0.2</v>
      </c>
      <c r="Y266" s="559">
        <f>SUM(Y267)</f>
        <v>90000000</v>
      </c>
      <c r="Z266" s="559">
        <f>SUM(Z267)</f>
        <v>10000000</v>
      </c>
      <c r="AA266" s="559">
        <f>SUM(AA267)</f>
        <v>17337743</v>
      </c>
      <c r="AB266" s="207">
        <f t="shared" si="348"/>
        <v>0.19264158888888888</v>
      </c>
      <c r="AC266" s="559">
        <f>SUM(AC267)</f>
        <v>11840998</v>
      </c>
      <c r="AD266" s="1227">
        <f t="shared" si="349"/>
        <v>0.13156664444444444</v>
      </c>
      <c r="AE266" s="1229">
        <f>SUM(AE267)</f>
        <v>5496745</v>
      </c>
      <c r="AF266" s="144">
        <f>SUM(AF267)</f>
        <v>0</v>
      </c>
      <c r="AG266" s="559">
        <f>SUM(AG267)</f>
        <v>0</v>
      </c>
      <c r="AH266" s="505" t="e">
        <f t="shared" si="350"/>
        <v>#DIV/0!</v>
      </c>
      <c r="AI266" s="559">
        <f t="shared" ref="AI266" si="352">SUM(AI267)</f>
        <v>300000000</v>
      </c>
      <c r="AJ266" s="559">
        <f>SUM(AJ267)</f>
        <v>27337743</v>
      </c>
      <c r="AK266" s="1227">
        <f t="shared" si="351"/>
        <v>9.1125810000000002E-2</v>
      </c>
      <c r="AL266" s="166"/>
      <c r="AM266" s="159"/>
      <c r="AN266" s="482"/>
      <c r="AO266" s="1229"/>
      <c r="AP266" s="101"/>
      <c r="AQ266" s="101"/>
    </row>
    <row r="267" spans="1:43" ht="135" x14ac:dyDescent="0.25">
      <c r="A267" s="272" t="s">
        <v>689</v>
      </c>
      <c r="B267" s="362" t="s">
        <v>859</v>
      </c>
      <c r="C267" s="389">
        <v>0.1</v>
      </c>
      <c r="D267" s="186">
        <v>1</v>
      </c>
      <c r="E267" s="1582">
        <v>0</v>
      </c>
      <c r="F267" s="558">
        <v>0</v>
      </c>
      <c r="G267" s="558"/>
      <c r="H267" s="598">
        <f t="shared" ref="H267" si="353">IF((E267+G267)/C267&gt;=100%,100%,(E267+G267)/C267)</f>
        <v>0</v>
      </c>
      <c r="I267" s="1694">
        <f t="shared" ref="I267" si="354">IF(F267/D267&gt;=100%,100%,F267/D267)</f>
        <v>0</v>
      </c>
      <c r="J267" s="1715" t="s">
        <v>1478</v>
      </c>
      <c r="K267" s="569"/>
      <c r="L267" s="177"/>
      <c r="M267" s="178"/>
      <c r="N267" s="146"/>
      <c r="O267" s="173"/>
      <c r="P267" s="173"/>
      <c r="Q267" s="173"/>
      <c r="R267" s="150"/>
      <c r="S267" s="173"/>
      <c r="T267" s="194">
        <v>1</v>
      </c>
      <c r="U267" s="195">
        <f>SUM(E267:G267)</f>
        <v>0</v>
      </c>
      <c r="V267" s="170">
        <f t="shared" ref="V267" si="355">IF(U267/T267&gt;=100%,100%,U267/T267)</f>
        <v>0</v>
      </c>
      <c r="W267" s="188">
        <v>1</v>
      </c>
      <c r="X267" s="398">
        <v>1</v>
      </c>
      <c r="Y267" s="548">
        <v>90000000</v>
      </c>
      <c r="Z267" s="431">
        <v>10000000</v>
      </c>
      <c r="AA267" s="548">
        <v>17337743</v>
      </c>
      <c r="AB267" s="208">
        <f t="shared" si="348"/>
        <v>0.19264158888888888</v>
      </c>
      <c r="AC267" s="548">
        <v>11840998</v>
      </c>
      <c r="AD267" s="894">
        <f t="shared" si="349"/>
        <v>0.13156664444444444</v>
      </c>
      <c r="AE267" s="1601">
        <f>+AA267-AC267</f>
        <v>5496745</v>
      </c>
      <c r="AF267" s="1575">
        <v>0</v>
      </c>
      <c r="AG267" s="431">
        <v>0</v>
      </c>
      <c r="AH267" s="1097" t="e">
        <f t="shared" si="350"/>
        <v>#DIV/0!</v>
      </c>
      <c r="AI267" s="1603">
        <v>300000000</v>
      </c>
      <c r="AJ267" s="1603">
        <f t="shared" si="345"/>
        <v>27337743</v>
      </c>
      <c r="AK267" s="894">
        <f t="shared" si="351"/>
        <v>9.1125810000000002E-2</v>
      </c>
      <c r="AL267" s="1615"/>
      <c r="AM267" s="155"/>
      <c r="AN267" s="151" t="s">
        <v>302</v>
      </c>
      <c r="AO267" s="1796" t="s">
        <v>895</v>
      </c>
      <c r="AP267" s="98"/>
      <c r="AQ267" s="98"/>
    </row>
    <row r="268" spans="1:43" x14ac:dyDescent="0.25">
      <c r="A268" s="241" t="s">
        <v>506</v>
      </c>
      <c r="B268" s="140"/>
      <c r="C268" s="141"/>
      <c r="D268" s="187"/>
      <c r="E268" s="181"/>
      <c r="F268" s="141"/>
      <c r="G268" s="141"/>
      <c r="H268" s="142">
        <v>0</v>
      </c>
      <c r="I268" s="1163">
        <f>+I269*X269</f>
        <v>0</v>
      </c>
      <c r="J268" s="593"/>
      <c r="K268" s="571"/>
      <c r="L268" s="143"/>
      <c r="M268" s="144"/>
      <c r="N268" s="144"/>
      <c r="O268" s="172"/>
      <c r="P268" s="172"/>
      <c r="Q268" s="172"/>
      <c r="R268" s="158"/>
      <c r="S268" s="172"/>
      <c r="T268" s="193"/>
      <c r="U268" s="202"/>
      <c r="V268" s="165">
        <f>+(V269*W269)</f>
        <v>0</v>
      </c>
      <c r="W268" s="142">
        <v>0.2</v>
      </c>
      <c r="X268" s="394">
        <v>0.2</v>
      </c>
      <c r="Y268" s="559">
        <f>SUM(Y269)</f>
        <v>85000000</v>
      </c>
      <c r="Z268" s="559">
        <f>SUM(Z269)</f>
        <v>0</v>
      </c>
      <c r="AA268" s="559">
        <f>SUM(AA269)</f>
        <v>72857060</v>
      </c>
      <c r="AB268" s="207">
        <f t="shared" si="348"/>
        <v>0.8571418823529412</v>
      </c>
      <c r="AC268" s="559">
        <f>SUM(AC269)</f>
        <v>17726434</v>
      </c>
      <c r="AD268" s="1227">
        <f t="shared" si="349"/>
        <v>0.20854628235294118</v>
      </c>
      <c r="AE268" s="1229">
        <f>SUM(AE269)</f>
        <v>55130626</v>
      </c>
      <c r="AF268" s="144">
        <f>SUM(AF269)</f>
        <v>0</v>
      </c>
      <c r="AG268" s="559">
        <f>SUM(AG269)</f>
        <v>0</v>
      </c>
      <c r="AH268" s="505" t="e">
        <f t="shared" si="350"/>
        <v>#DIV/0!</v>
      </c>
      <c r="AI268" s="559">
        <f>SUM(AI269)</f>
        <v>450000000</v>
      </c>
      <c r="AJ268" s="559">
        <f>SUM(AJ269)</f>
        <v>72857060</v>
      </c>
      <c r="AK268" s="1227">
        <f t="shared" si="351"/>
        <v>0.16190457777777778</v>
      </c>
      <c r="AL268" s="166"/>
      <c r="AM268" s="159"/>
      <c r="AN268" s="482"/>
      <c r="AO268" s="1229"/>
      <c r="AP268" s="101"/>
      <c r="AQ268" s="101"/>
    </row>
    <row r="269" spans="1:43" ht="77.25" thickBot="1" x14ac:dyDescent="0.3">
      <c r="A269" s="271" t="s">
        <v>690</v>
      </c>
      <c r="B269" s="647" t="s">
        <v>860</v>
      </c>
      <c r="C269" s="667">
        <v>0</v>
      </c>
      <c r="D269" s="1717">
        <v>0.1</v>
      </c>
      <c r="E269" s="1638">
        <v>0</v>
      </c>
      <c r="F269" s="908">
        <v>0</v>
      </c>
      <c r="G269" s="908"/>
      <c r="H269" s="894" t="e">
        <f t="shared" ref="H269" si="356">IF((E269+G269)/C269&gt;=100%,100%,(E269+G269)/C269)</f>
        <v>#DIV/0!</v>
      </c>
      <c r="I269" s="1718">
        <f t="shared" ref="I269" si="357">IF(F269/D269&gt;=100%,100%,F269/D269)</f>
        <v>0</v>
      </c>
      <c r="J269" s="1719" t="s">
        <v>1476</v>
      </c>
      <c r="K269" s="1088"/>
      <c r="L269" s="1641"/>
      <c r="M269" s="1642"/>
      <c r="N269" s="1640"/>
      <c r="O269" s="1090"/>
      <c r="P269" s="1090"/>
      <c r="Q269" s="1090"/>
      <c r="R269" s="1643"/>
      <c r="S269" s="1090"/>
      <c r="T269" s="1691">
        <v>1</v>
      </c>
      <c r="U269" s="935">
        <f>SUM(E269:G269)</f>
        <v>0</v>
      </c>
      <c r="V269" s="1679">
        <f t="shared" ref="V269" si="358">IF(U269/T269&gt;=100%,100%,U269/T269)</f>
        <v>0</v>
      </c>
      <c r="W269" s="1654">
        <v>1</v>
      </c>
      <c r="X269" s="1655">
        <v>1</v>
      </c>
      <c r="Y269" s="1720">
        <v>85000000</v>
      </c>
      <c r="Z269" s="671">
        <v>0</v>
      </c>
      <c r="AA269" s="1721">
        <v>72857060</v>
      </c>
      <c r="AB269" s="1610">
        <f t="shared" si="348"/>
        <v>0.8571418823529412</v>
      </c>
      <c r="AC269" s="1721">
        <v>17726434</v>
      </c>
      <c r="AD269" s="894">
        <f t="shared" si="349"/>
        <v>0.20854628235294118</v>
      </c>
      <c r="AE269" s="1611">
        <f>+AA269-AC269</f>
        <v>55130626</v>
      </c>
      <c r="AF269" s="1576">
        <v>0</v>
      </c>
      <c r="AG269" s="671">
        <v>0</v>
      </c>
      <c r="AH269" s="1612" t="e">
        <f t="shared" si="350"/>
        <v>#DIV/0!</v>
      </c>
      <c r="AI269" s="1614">
        <v>450000000</v>
      </c>
      <c r="AJ269" s="1614">
        <f t="shared" si="345"/>
        <v>72857060</v>
      </c>
      <c r="AK269" s="894">
        <f t="shared" si="351"/>
        <v>0.16190457777777778</v>
      </c>
      <c r="AL269" s="1615"/>
      <c r="AM269" s="162"/>
      <c r="AN269" s="589" t="s">
        <v>302</v>
      </c>
      <c r="AO269" s="1795" t="s">
        <v>895</v>
      </c>
      <c r="AP269" s="594"/>
      <c r="AQ269" s="594"/>
    </row>
    <row r="270" spans="1:43" s="554" customFormat="1" ht="51.75" thickBot="1" x14ac:dyDescent="0.3">
      <c r="A270" s="628" t="s">
        <v>450</v>
      </c>
      <c r="B270" s="629"/>
      <c r="C270" s="630"/>
      <c r="D270" s="631"/>
      <c r="E270" s="632"/>
      <c r="F270" s="630"/>
      <c r="G270" s="630"/>
      <c r="H270" s="633">
        <f>+(H271*W271)</f>
        <v>1</v>
      </c>
      <c r="I270" s="644">
        <f>+(I271*X271)</f>
        <v>0.98</v>
      </c>
      <c r="J270" s="634"/>
      <c r="K270" s="635"/>
      <c r="L270" s="636"/>
      <c r="M270" s="637"/>
      <c r="N270" s="637"/>
      <c r="O270" s="638"/>
      <c r="P270" s="638"/>
      <c r="Q270" s="638"/>
      <c r="R270" s="639"/>
      <c r="S270" s="638"/>
      <c r="T270" s="640"/>
      <c r="U270" s="641"/>
      <c r="V270" s="680">
        <f>+(V271*W271)</f>
        <v>0.60470695970695976</v>
      </c>
      <c r="W270" s="646">
        <v>0.1</v>
      </c>
      <c r="X270" s="657">
        <v>0.1</v>
      </c>
      <c r="Y270" s="642">
        <f>+Y271</f>
        <v>640000000</v>
      </c>
      <c r="Z270" s="642">
        <f>+Z271</f>
        <v>205472200</v>
      </c>
      <c r="AA270" s="642">
        <f>+AA271</f>
        <v>539083009</v>
      </c>
      <c r="AB270" s="643">
        <f t="shared" si="348"/>
        <v>0.84231720156250001</v>
      </c>
      <c r="AC270" s="642">
        <f>+AC271</f>
        <v>323233127</v>
      </c>
      <c r="AD270" s="644">
        <f t="shared" si="349"/>
        <v>0.50505176093750004</v>
      </c>
      <c r="AE270" s="629">
        <f>+AE271</f>
        <v>215849882</v>
      </c>
      <c r="AF270" s="637">
        <f>+AF271</f>
        <v>98072200</v>
      </c>
      <c r="AG270" s="642">
        <f>+AG271</f>
        <v>83395870.770000011</v>
      </c>
      <c r="AH270" s="645">
        <f t="shared" si="350"/>
        <v>0.85035178949794143</v>
      </c>
      <c r="AI270" s="642">
        <f t="shared" ref="AI270:AJ270" si="359">+AI271</f>
        <v>3100000000</v>
      </c>
      <c r="AJ270" s="642">
        <f t="shared" si="359"/>
        <v>744555209</v>
      </c>
      <c r="AK270" s="646">
        <f t="shared" si="351"/>
        <v>0.24017909967741935</v>
      </c>
      <c r="AL270" s="636"/>
      <c r="AM270" s="636" t="s">
        <v>301</v>
      </c>
      <c r="AN270" s="637"/>
      <c r="AO270" s="629"/>
      <c r="AP270" s="634"/>
      <c r="AQ270" s="634"/>
    </row>
    <row r="271" spans="1:43" x14ac:dyDescent="0.25">
      <c r="A271" s="252" t="s">
        <v>507</v>
      </c>
      <c r="B271" s="344"/>
      <c r="C271" s="611"/>
      <c r="D271" s="612"/>
      <c r="E271" s="613"/>
      <c r="F271" s="611"/>
      <c r="G271" s="611"/>
      <c r="H271" s="220">
        <f>+(H272*28%)+(H273*28%)+(H275*11%)+(H276*11%)+(H277*22%)</f>
        <v>1</v>
      </c>
      <c r="I271" s="622">
        <f>+SUMPRODUCT(I272:I277,X272:X277)</f>
        <v>0.98</v>
      </c>
      <c r="J271" s="614"/>
      <c r="K271" s="615"/>
      <c r="L271" s="196"/>
      <c r="M271" s="590"/>
      <c r="N271" s="590"/>
      <c r="O271" s="616"/>
      <c r="P271" s="616"/>
      <c r="Q271" s="616"/>
      <c r="R271" s="617"/>
      <c r="S271" s="616"/>
      <c r="T271" s="672"/>
      <c r="U271" s="202"/>
      <c r="V271" s="656">
        <f>+SUMPRODUCT(V272:V277,W272:W277)</f>
        <v>0.60470695970695976</v>
      </c>
      <c r="W271" s="220">
        <v>1</v>
      </c>
      <c r="X271" s="619">
        <v>1</v>
      </c>
      <c r="Y271" s="620">
        <f>SUM(Y272:Y277)</f>
        <v>640000000</v>
      </c>
      <c r="Z271" s="620">
        <f>SUM(Z272:Z277)</f>
        <v>205472200</v>
      </c>
      <c r="AA271" s="620">
        <f>SUM(AA272:AA277)</f>
        <v>539083009</v>
      </c>
      <c r="AB271" s="621">
        <f t="shared" si="348"/>
        <v>0.84231720156250001</v>
      </c>
      <c r="AC271" s="620">
        <f>SUM(AC272:AC277)</f>
        <v>323233127</v>
      </c>
      <c r="AD271" s="666">
        <f t="shared" si="349"/>
        <v>0.50505176093750004</v>
      </c>
      <c r="AE271" s="1518">
        <f>SUM(AE272:AE277)</f>
        <v>215849882</v>
      </c>
      <c r="AF271" s="590">
        <f>SUM(AF272:AF277)</f>
        <v>98072200</v>
      </c>
      <c r="AG271" s="620">
        <f>SUM(AG272:AG277)</f>
        <v>83395870.770000011</v>
      </c>
      <c r="AH271" s="505">
        <f t="shared" si="350"/>
        <v>0.85035178949794143</v>
      </c>
      <c r="AI271" s="620">
        <f t="shared" ref="AI271:AJ271" si="360">SUM(AI272:AI277)</f>
        <v>3100000000</v>
      </c>
      <c r="AJ271" s="620">
        <f t="shared" si="360"/>
        <v>744555209</v>
      </c>
      <c r="AK271" s="1696">
        <f t="shared" si="351"/>
        <v>0.24017909967741935</v>
      </c>
      <c r="AL271" s="624"/>
      <c r="AM271" s="625"/>
      <c r="AN271" s="626"/>
      <c r="AO271" s="1518"/>
      <c r="AP271" s="627"/>
      <c r="AQ271" s="627"/>
    </row>
    <row r="272" spans="1:43" ht="102" x14ac:dyDescent="0.25">
      <c r="A272" s="269" t="s">
        <v>691</v>
      </c>
      <c r="B272" s="360" t="s">
        <v>861</v>
      </c>
      <c r="C272" s="390">
        <v>0.5</v>
      </c>
      <c r="D272" s="322">
        <v>0.7</v>
      </c>
      <c r="E272" s="238">
        <v>0.2</v>
      </c>
      <c r="F272" s="169">
        <v>1</v>
      </c>
      <c r="G272" s="169">
        <v>0.3</v>
      </c>
      <c r="H272" s="167">
        <f t="shared" ref="H272:H276" si="361">IF((E272+G272)/C272&gt;=100%,100%,(E272+G272)/C272)</f>
        <v>1</v>
      </c>
      <c r="I272" s="520">
        <f t="shared" ref="I272:I277" si="362">IF(F272/D272&gt;=100%,100%,F272/D272)</f>
        <v>1</v>
      </c>
      <c r="J272" s="604" t="s">
        <v>1042</v>
      </c>
      <c r="K272" s="1088"/>
      <c r="L272" s="1641"/>
      <c r="M272" s="1642"/>
      <c r="N272" s="1085"/>
      <c r="O272" s="1090"/>
      <c r="P272" s="1090"/>
      <c r="Q272" s="1090"/>
      <c r="R272" s="1091"/>
      <c r="S272" s="1090"/>
      <c r="T272" s="238">
        <v>2.6</v>
      </c>
      <c r="U272" s="598">
        <f>SUM(E272:G272)</f>
        <v>1.5</v>
      </c>
      <c r="V272" s="1684">
        <f t="shared" ref="V272:V277" si="363">IF(U272/T272&gt;=100%,100%,U272/T272)</f>
        <v>0.57692307692307687</v>
      </c>
      <c r="W272" s="424">
        <v>0.25</v>
      </c>
      <c r="X272" s="444">
        <v>0.25</v>
      </c>
      <c r="Y272" s="549">
        <v>190000000</v>
      </c>
      <c r="Z272" s="288">
        <v>69472200</v>
      </c>
      <c r="AA272" s="549">
        <v>97783935</v>
      </c>
      <c r="AB272" s="1095">
        <f t="shared" si="348"/>
        <v>0.51465228947368424</v>
      </c>
      <c r="AC272" s="549">
        <v>10517463</v>
      </c>
      <c r="AD272" s="894">
        <f t="shared" si="349"/>
        <v>5.5355068421052631E-2</v>
      </c>
      <c r="AE272" s="1601">
        <f t="shared" ref="AE272:AE277" si="364">+AA272-AC272</f>
        <v>87266472</v>
      </c>
      <c r="AF272" s="1569">
        <v>69472200</v>
      </c>
      <c r="AG272" s="288">
        <v>63195870.770000003</v>
      </c>
      <c r="AH272" s="1097">
        <f t="shared" si="350"/>
        <v>0.90965696739127311</v>
      </c>
      <c r="AI272" s="1603">
        <f>1500000000/2</f>
        <v>750000000</v>
      </c>
      <c r="AJ272" s="1603">
        <f t="shared" ref="AJ272:AJ277" si="365">+SUM(Z272:AA272)</f>
        <v>167256135</v>
      </c>
      <c r="AK272" s="894">
        <f t="shared" si="351"/>
        <v>0.22300818</v>
      </c>
      <c r="AL272" s="1615"/>
      <c r="AM272" s="1604"/>
      <c r="AN272" s="151" t="s">
        <v>302</v>
      </c>
      <c r="AO272" s="1802" t="s">
        <v>929</v>
      </c>
      <c r="AP272" s="98"/>
      <c r="AQ272" s="98"/>
    </row>
    <row r="273" spans="1:43" ht="102" x14ac:dyDescent="0.25">
      <c r="A273" s="269" t="s">
        <v>692</v>
      </c>
      <c r="B273" s="360" t="s">
        <v>862</v>
      </c>
      <c r="C273" s="390">
        <v>0.1</v>
      </c>
      <c r="D273" s="322">
        <v>0.2</v>
      </c>
      <c r="E273" s="238">
        <v>0</v>
      </c>
      <c r="F273" s="169">
        <v>0.34</v>
      </c>
      <c r="G273" s="169">
        <v>0.1</v>
      </c>
      <c r="H273" s="167">
        <f t="shared" si="361"/>
        <v>1</v>
      </c>
      <c r="I273" s="520">
        <f t="shared" si="362"/>
        <v>1</v>
      </c>
      <c r="J273" s="604" t="s">
        <v>1043</v>
      </c>
      <c r="K273" s="1088"/>
      <c r="L273" s="1641"/>
      <c r="M273" s="1642"/>
      <c r="N273" s="1085"/>
      <c r="O273" s="1090"/>
      <c r="P273" s="1090"/>
      <c r="Q273" s="1090"/>
      <c r="R273" s="1091"/>
      <c r="S273" s="1090"/>
      <c r="T273" s="238">
        <v>0.7</v>
      </c>
      <c r="U273" s="598">
        <f t="shared" ref="U273:U277" si="366">SUM(E273:G273)</f>
        <v>0.44000000000000006</v>
      </c>
      <c r="V273" s="1684">
        <f t="shared" si="363"/>
        <v>0.62857142857142867</v>
      </c>
      <c r="W273" s="424">
        <v>0.25</v>
      </c>
      <c r="X273" s="444">
        <v>0.25</v>
      </c>
      <c r="Y273" s="550">
        <v>190000000</v>
      </c>
      <c r="Z273" s="288">
        <v>24000000</v>
      </c>
      <c r="AA273" s="549">
        <v>186183935</v>
      </c>
      <c r="AB273" s="1095">
        <f t="shared" si="348"/>
        <v>0.97991544736842107</v>
      </c>
      <c r="AC273" s="549">
        <v>74917463</v>
      </c>
      <c r="AD273" s="894">
        <f t="shared" si="349"/>
        <v>0.39430243684210525</v>
      </c>
      <c r="AE273" s="1601">
        <f t="shared" si="364"/>
        <v>111266472</v>
      </c>
      <c r="AF273" s="1569">
        <v>6000000</v>
      </c>
      <c r="AG273" s="288">
        <v>0</v>
      </c>
      <c r="AH273" s="1097">
        <f t="shared" si="350"/>
        <v>0</v>
      </c>
      <c r="AI273" s="1603">
        <f>1500000000/2</f>
        <v>750000000</v>
      </c>
      <c r="AJ273" s="1603">
        <f t="shared" si="365"/>
        <v>210183935</v>
      </c>
      <c r="AK273" s="894">
        <f t="shared" si="351"/>
        <v>0.28024524666666667</v>
      </c>
      <c r="AL273" s="1615"/>
      <c r="AM273" s="1604"/>
      <c r="AN273" s="151" t="s">
        <v>302</v>
      </c>
      <c r="AO273" s="1796" t="s">
        <v>929</v>
      </c>
      <c r="AP273" s="98"/>
      <c r="AQ273" s="98"/>
    </row>
    <row r="274" spans="1:43" ht="51" x14ac:dyDescent="0.25">
      <c r="A274" s="269" t="s">
        <v>693</v>
      </c>
      <c r="B274" s="360" t="s">
        <v>863</v>
      </c>
      <c r="C274" s="388">
        <v>0</v>
      </c>
      <c r="D274" s="321">
        <v>1</v>
      </c>
      <c r="E274" s="236">
        <v>0</v>
      </c>
      <c r="F274" s="147">
        <v>1</v>
      </c>
      <c r="G274" s="147"/>
      <c r="H274" s="167" t="e">
        <f t="shared" si="361"/>
        <v>#DIV/0!</v>
      </c>
      <c r="I274" s="520">
        <f t="shared" si="362"/>
        <v>1</v>
      </c>
      <c r="J274" s="604" t="s">
        <v>1044</v>
      </c>
      <c r="K274" s="1088"/>
      <c r="L274" s="1641"/>
      <c r="M274" s="1642"/>
      <c r="N274" s="1085"/>
      <c r="O274" s="1090"/>
      <c r="P274" s="1090"/>
      <c r="Q274" s="1090"/>
      <c r="R274" s="1091"/>
      <c r="S274" s="1090"/>
      <c r="T274" s="236">
        <v>1</v>
      </c>
      <c r="U274" s="599">
        <f t="shared" si="366"/>
        <v>1</v>
      </c>
      <c r="V274" s="1684">
        <f t="shared" si="363"/>
        <v>1</v>
      </c>
      <c r="W274" s="424">
        <v>0.1</v>
      </c>
      <c r="X274" s="444">
        <v>0.1</v>
      </c>
      <c r="Y274" s="549">
        <v>20000000</v>
      </c>
      <c r="Z274" s="288">
        <v>0</v>
      </c>
      <c r="AA274" s="549">
        <v>17289393</v>
      </c>
      <c r="AB274" s="1095">
        <f t="shared" si="348"/>
        <v>0.86446964999999998</v>
      </c>
      <c r="AC274" s="549">
        <v>13862275</v>
      </c>
      <c r="AD274" s="1104">
        <f t="shared" si="349"/>
        <v>0.69311374999999997</v>
      </c>
      <c r="AE274" s="1601">
        <f t="shared" si="364"/>
        <v>3427118</v>
      </c>
      <c r="AF274" s="1569">
        <v>0</v>
      </c>
      <c r="AG274" s="288">
        <v>0</v>
      </c>
      <c r="AH274" s="1097" t="e">
        <f t="shared" si="350"/>
        <v>#DIV/0!</v>
      </c>
      <c r="AI274" s="1603">
        <f>600000000/3</f>
        <v>200000000</v>
      </c>
      <c r="AJ274" s="1603">
        <f t="shared" si="365"/>
        <v>17289393</v>
      </c>
      <c r="AK274" s="894">
        <f t="shared" si="351"/>
        <v>8.6446965000000001E-2</v>
      </c>
      <c r="AL274" s="1615"/>
      <c r="AM274" s="1604"/>
      <c r="AN274" s="151" t="s">
        <v>302</v>
      </c>
      <c r="AO274" s="1900" t="s">
        <v>929</v>
      </c>
      <c r="AP274" s="98"/>
      <c r="AQ274" s="98"/>
    </row>
    <row r="275" spans="1:43" ht="63.75" x14ac:dyDescent="0.25">
      <c r="A275" s="269" t="s">
        <v>694</v>
      </c>
      <c r="B275" s="360" t="s">
        <v>864</v>
      </c>
      <c r="C275" s="388">
        <v>3</v>
      </c>
      <c r="D275" s="321">
        <v>2</v>
      </c>
      <c r="E275" s="236">
        <v>3</v>
      </c>
      <c r="F275" s="147">
        <v>3</v>
      </c>
      <c r="G275" s="147"/>
      <c r="H275" s="167">
        <f t="shared" si="361"/>
        <v>1</v>
      </c>
      <c r="I275" s="520">
        <f t="shared" si="362"/>
        <v>1</v>
      </c>
      <c r="J275" s="604" t="s">
        <v>1045</v>
      </c>
      <c r="K275" s="1088"/>
      <c r="L275" s="1641"/>
      <c r="M275" s="1642"/>
      <c r="N275" s="1085"/>
      <c r="O275" s="1090"/>
      <c r="P275" s="1090"/>
      <c r="Q275" s="1090"/>
      <c r="R275" s="1091"/>
      <c r="S275" s="1090"/>
      <c r="T275" s="236">
        <v>8</v>
      </c>
      <c r="U275" s="599">
        <f t="shared" si="366"/>
        <v>6</v>
      </c>
      <c r="V275" s="1684">
        <f t="shared" si="363"/>
        <v>0.75</v>
      </c>
      <c r="W275" s="424">
        <v>0.1</v>
      </c>
      <c r="X275" s="444">
        <v>0.1</v>
      </c>
      <c r="Y275" s="549">
        <v>20000000</v>
      </c>
      <c r="Z275" s="288">
        <v>10800000</v>
      </c>
      <c r="AA275" s="549">
        <v>19689393</v>
      </c>
      <c r="AB275" s="1095">
        <f t="shared" si="348"/>
        <v>0.98446964999999997</v>
      </c>
      <c r="AC275" s="549">
        <v>18662275</v>
      </c>
      <c r="AD275" s="1104">
        <f t="shared" si="349"/>
        <v>0.93311374999999996</v>
      </c>
      <c r="AE275" s="1601">
        <f t="shared" si="364"/>
        <v>1027118</v>
      </c>
      <c r="AF275" s="1569">
        <v>0</v>
      </c>
      <c r="AG275" s="288">
        <v>0</v>
      </c>
      <c r="AH275" s="1097" t="e">
        <f t="shared" si="350"/>
        <v>#DIV/0!</v>
      </c>
      <c r="AI275" s="1603">
        <f t="shared" ref="AI275:AI276" si="367">600000000/3</f>
        <v>200000000</v>
      </c>
      <c r="AJ275" s="1603">
        <f t="shared" si="365"/>
        <v>30489393</v>
      </c>
      <c r="AK275" s="894">
        <f t="shared" si="351"/>
        <v>0.15244696499999999</v>
      </c>
      <c r="AL275" s="1615"/>
      <c r="AM275" s="1604"/>
      <c r="AN275" s="151" t="s">
        <v>302</v>
      </c>
      <c r="AO275" s="1897"/>
      <c r="AP275" s="98"/>
      <c r="AQ275" s="98"/>
    </row>
    <row r="276" spans="1:43" ht="114.75" x14ac:dyDescent="0.25">
      <c r="A276" s="269" t="s">
        <v>695</v>
      </c>
      <c r="B276" s="360" t="s">
        <v>865</v>
      </c>
      <c r="C276" s="388">
        <v>3</v>
      </c>
      <c r="D276" s="321">
        <v>4</v>
      </c>
      <c r="E276" s="236">
        <v>2</v>
      </c>
      <c r="F276" s="147">
        <v>4</v>
      </c>
      <c r="G276" s="147">
        <v>1</v>
      </c>
      <c r="H276" s="167">
        <f t="shared" si="361"/>
        <v>1</v>
      </c>
      <c r="I276" s="520">
        <f t="shared" si="362"/>
        <v>1</v>
      </c>
      <c r="J276" s="604" t="s">
        <v>1046</v>
      </c>
      <c r="K276" s="1088"/>
      <c r="L276" s="1641"/>
      <c r="M276" s="1642"/>
      <c r="N276" s="1085"/>
      <c r="O276" s="1090"/>
      <c r="P276" s="1090"/>
      <c r="Q276" s="1090"/>
      <c r="R276" s="1091"/>
      <c r="S276" s="1090"/>
      <c r="T276" s="236">
        <v>21</v>
      </c>
      <c r="U276" s="599">
        <f t="shared" si="366"/>
        <v>7</v>
      </c>
      <c r="V276" s="1684">
        <f t="shared" si="363"/>
        <v>0.33333333333333331</v>
      </c>
      <c r="W276" s="424">
        <v>0.1</v>
      </c>
      <c r="X276" s="444">
        <v>0.1</v>
      </c>
      <c r="Y276" s="549">
        <v>20000000</v>
      </c>
      <c r="Z276" s="288">
        <v>22800000</v>
      </c>
      <c r="AA276" s="549">
        <v>19689393</v>
      </c>
      <c r="AB276" s="1095">
        <f t="shared" si="348"/>
        <v>0.98446964999999997</v>
      </c>
      <c r="AC276" s="549">
        <v>18662275</v>
      </c>
      <c r="AD276" s="1104">
        <f t="shared" si="349"/>
        <v>0.93311374999999996</v>
      </c>
      <c r="AE276" s="1601">
        <f t="shared" si="364"/>
        <v>1027118</v>
      </c>
      <c r="AF276" s="1569">
        <v>4800000</v>
      </c>
      <c r="AG276" s="288">
        <v>2400000</v>
      </c>
      <c r="AH276" s="1097">
        <f t="shared" si="350"/>
        <v>0.5</v>
      </c>
      <c r="AI276" s="1603">
        <f t="shared" si="367"/>
        <v>200000000</v>
      </c>
      <c r="AJ276" s="1603">
        <f t="shared" si="365"/>
        <v>42489393</v>
      </c>
      <c r="AK276" s="894">
        <f t="shared" si="351"/>
        <v>0.21244696499999999</v>
      </c>
      <c r="AL276" s="1615"/>
      <c r="AM276" s="1604"/>
      <c r="AN276" s="151" t="s">
        <v>302</v>
      </c>
      <c r="AO276" s="1898"/>
      <c r="AP276" s="98"/>
      <c r="AQ276" s="98"/>
    </row>
    <row r="277" spans="1:43" ht="90" thickBot="1" x14ac:dyDescent="0.3">
      <c r="A277" s="658" t="s">
        <v>696</v>
      </c>
      <c r="B277" s="659" t="s">
        <v>866</v>
      </c>
      <c r="C277" s="660">
        <v>1</v>
      </c>
      <c r="D277" s="652">
        <v>1</v>
      </c>
      <c r="E277" s="651">
        <v>0.59</v>
      </c>
      <c r="F277" s="179">
        <v>0.9</v>
      </c>
      <c r="G277" s="179">
        <v>0.41</v>
      </c>
      <c r="H277" s="561">
        <f>IF((E277+G277)/C277&gt;=100%,100%,(E277+G277)/C277)</f>
        <v>1</v>
      </c>
      <c r="I277" s="557">
        <f t="shared" si="362"/>
        <v>0.9</v>
      </c>
      <c r="J277" s="604" t="s">
        <v>1047</v>
      </c>
      <c r="K277" s="1088"/>
      <c r="L277" s="1641"/>
      <c r="M277" s="1642"/>
      <c r="N277" s="1640"/>
      <c r="O277" s="1090"/>
      <c r="P277" s="1090"/>
      <c r="Q277" s="1090"/>
      <c r="R277" s="1643"/>
      <c r="S277" s="1090"/>
      <c r="T277" s="651">
        <v>4</v>
      </c>
      <c r="U277" s="894">
        <f t="shared" si="366"/>
        <v>1.9</v>
      </c>
      <c r="V277" s="1679">
        <f t="shared" si="363"/>
        <v>0.47499999999999998</v>
      </c>
      <c r="W277" s="661">
        <v>0.2</v>
      </c>
      <c r="X277" s="662">
        <v>0.2</v>
      </c>
      <c r="Y277" s="663">
        <v>200000000</v>
      </c>
      <c r="Z277" s="664">
        <v>78400000</v>
      </c>
      <c r="AA277" s="665">
        <v>198446960</v>
      </c>
      <c r="AB277" s="1610">
        <f t="shared" si="348"/>
        <v>0.99223479999999997</v>
      </c>
      <c r="AC277" s="665">
        <v>186611376</v>
      </c>
      <c r="AD277" s="1104">
        <f t="shared" si="349"/>
        <v>0.93305687999999998</v>
      </c>
      <c r="AE277" s="1611">
        <f t="shared" si="364"/>
        <v>11835584</v>
      </c>
      <c r="AF277" s="1577">
        <v>17800000</v>
      </c>
      <c r="AG277" s="664">
        <v>17800000</v>
      </c>
      <c r="AH277" s="1612">
        <f t="shared" si="350"/>
        <v>1</v>
      </c>
      <c r="AI277" s="1614">
        <v>1000000000</v>
      </c>
      <c r="AJ277" s="1614">
        <f t="shared" si="365"/>
        <v>276846960</v>
      </c>
      <c r="AK277" s="894">
        <f t="shared" si="351"/>
        <v>0.27684695999999998</v>
      </c>
      <c r="AL277" s="1615"/>
      <c r="AM277" s="1615"/>
      <c r="AN277" s="589" t="s">
        <v>302</v>
      </c>
      <c r="AO277" s="1802" t="s">
        <v>929</v>
      </c>
      <c r="AP277" s="594"/>
      <c r="AQ277" s="594"/>
    </row>
    <row r="278" spans="1:43" s="554" customFormat="1" ht="51.75" thickBot="1" x14ac:dyDescent="0.3">
      <c r="A278" s="628" t="s">
        <v>451</v>
      </c>
      <c r="B278" s="629"/>
      <c r="C278" s="630"/>
      <c r="D278" s="631"/>
      <c r="E278" s="632"/>
      <c r="F278" s="630"/>
      <c r="G278" s="630"/>
      <c r="H278" s="633">
        <f>+(H279*W279)+(H282*W282)+(H284*W284)</f>
        <v>1</v>
      </c>
      <c r="I278" s="644">
        <f>+(I279*X279)+(I282*X282)+(I284*X284)</f>
        <v>0.98260000000000003</v>
      </c>
      <c r="J278" s="634"/>
      <c r="K278" s="635"/>
      <c r="L278" s="636"/>
      <c r="M278" s="637"/>
      <c r="N278" s="637"/>
      <c r="O278" s="638"/>
      <c r="P278" s="638"/>
      <c r="Q278" s="638"/>
      <c r="R278" s="639"/>
      <c r="S278" s="638"/>
      <c r="T278" s="640"/>
      <c r="U278" s="641"/>
      <c r="V278" s="680">
        <f>+(V279*W279)+(V282*W282)+(V284*W284)</f>
        <v>0.49565000000000003</v>
      </c>
      <c r="W278" s="646">
        <v>0.1</v>
      </c>
      <c r="X278" s="657">
        <v>0.1</v>
      </c>
      <c r="Y278" s="642">
        <f>+Y279+Y282+Y284</f>
        <v>645000000</v>
      </c>
      <c r="Z278" s="642">
        <f>+Z279+Z282+Z284</f>
        <v>591605825</v>
      </c>
      <c r="AA278" s="642">
        <f>+AA279+AA282+AA284</f>
        <v>635300006.66000009</v>
      </c>
      <c r="AB278" s="643">
        <f t="shared" si="348"/>
        <v>0.98496125063565909</v>
      </c>
      <c r="AC278" s="642">
        <f>+AC279+AC282+AC284</f>
        <v>609235528</v>
      </c>
      <c r="AD278" s="644">
        <f t="shared" si="349"/>
        <v>0.94455120620155042</v>
      </c>
      <c r="AE278" s="629">
        <f>+AE279+AE282+AE284</f>
        <v>26064478.660000026</v>
      </c>
      <c r="AF278" s="637">
        <f>+AF279+AF282+AF284</f>
        <v>197959754</v>
      </c>
      <c r="AG278" s="642">
        <f>+AG279+AG282+AG284</f>
        <v>160182330</v>
      </c>
      <c r="AH278" s="645">
        <f t="shared" si="350"/>
        <v>0.80916613990134578</v>
      </c>
      <c r="AI278" s="642">
        <f t="shared" ref="AI278:AJ278" si="368">+AI279+AI282+AI284</f>
        <v>3000000000</v>
      </c>
      <c r="AJ278" s="642">
        <f t="shared" si="368"/>
        <v>1226905831.6600001</v>
      </c>
      <c r="AK278" s="646">
        <f t="shared" si="351"/>
        <v>0.40896861055333339</v>
      </c>
      <c r="AL278" s="636"/>
      <c r="AM278" s="636" t="s">
        <v>301</v>
      </c>
      <c r="AN278" s="637"/>
      <c r="AO278" s="629"/>
      <c r="AP278" s="634"/>
      <c r="AQ278" s="634"/>
    </row>
    <row r="279" spans="1:43" x14ac:dyDescent="0.25">
      <c r="A279" s="252" t="s">
        <v>508</v>
      </c>
      <c r="B279" s="344"/>
      <c r="C279" s="611"/>
      <c r="D279" s="612"/>
      <c r="E279" s="613"/>
      <c r="F279" s="611"/>
      <c r="G279" s="611"/>
      <c r="H279" s="220">
        <f>+SUMPRODUCT(H280:H281,W280:W281)</f>
        <v>1</v>
      </c>
      <c r="I279" s="622">
        <f>+SUMPRODUCT(I280:I281,X280:X281)</f>
        <v>1</v>
      </c>
      <c r="J279" s="614"/>
      <c r="K279" s="615"/>
      <c r="L279" s="196"/>
      <c r="M279" s="590"/>
      <c r="N279" s="590"/>
      <c r="O279" s="616"/>
      <c r="P279" s="616"/>
      <c r="Q279" s="616"/>
      <c r="R279" s="617"/>
      <c r="S279" s="616"/>
      <c r="T279" s="1160"/>
      <c r="U279" s="202"/>
      <c r="V279" s="656">
        <f>+SUMPRODUCT(V280:V281,W280:W281)</f>
        <v>0.5</v>
      </c>
      <c r="W279" s="220">
        <v>0.4</v>
      </c>
      <c r="X279" s="619">
        <v>0.4</v>
      </c>
      <c r="Y279" s="620">
        <f>SUM(Y280:Y281)</f>
        <v>280000000</v>
      </c>
      <c r="Z279" s="620">
        <f>SUM(Z280:Z281)</f>
        <v>296655825</v>
      </c>
      <c r="AA279" s="620">
        <f>SUM(AA280:AA281)</f>
        <v>276893920</v>
      </c>
      <c r="AB279" s="621">
        <f t="shared" si="348"/>
        <v>0.98890685714285709</v>
      </c>
      <c r="AC279" s="620">
        <f>SUM(AC280:AC281)</f>
        <v>266622752</v>
      </c>
      <c r="AD279" s="666">
        <f t="shared" si="349"/>
        <v>0.9522241142857143</v>
      </c>
      <c r="AE279" s="1518">
        <f>SUM(AE280:AE281)</f>
        <v>10271168</v>
      </c>
      <c r="AF279" s="590">
        <f>SUM(AF280:AF281)</f>
        <v>103559754</v>
      </c>
      <c r="AG279" s="620">
        <f>SUM(AG280:AG281)</f>
        <v>95782330</v>
      </c>
      <c r="AH279" s="505">
        <f t="shared" si="350"/>
        <v>0.92489916497870395</v>
      </c>
      <c r="AI279" s="620">
        <f t="shared" ref="AI279:AJ279" si="369">SUM(AI280:AI281)</f>
        <v>1400000000</v>
      </c>
      <c r="AJ279" s="620">
        <f t="shared" si="369"/>
        <v>573549745</v>
      </c>
      <c r="AK279" s="1696">
        <f t="shared" si="351"/>
        <v>0.40967838928571426</v>
      </c>
      <c r="AL279" s="624"/>
      <c r="AM279" s="625"/>
      <c r="AN279" s="626"/>
      <c r="AO279" s="1518"/>
      <c r="AP279" s="627"/>
      <c r="AQ279" s="627"/>
    </row>
    <row r="280" spans="1:43" ht="76.5" x14ac:dyDescent="0.25">
      <c r="A280" s="268" t="s">
        <v>697</v>
      </c>
      <c r="B280" s="359" t="s">
        <v>867</v>
      </c>
      <c r="C280" s="387">
        <v>1</v>
      </c>
      <c r="D280" s="320">
        <v>1</v>
      </c>
      <c r="E280" s="234">
        <v>1</v>
      </c>
      <c r="F280" s="169">
        <v>1</v>
      </c>
      <c r="G280" s="147"/>
      <c r="H280" s="167">
        <f t="shared" ref="H280:H281" si="370">IF((E280+G280)/C280&gt;=100%,100%,(E280+G280)/C280)</f>
        <v>1</v>
      </c>
      <c r="I280" s="520">
        <f t="shared" ref="I280:I281" si="371">IF(F280/D280&gt;=100%,100%,F280/D280)</f>
        <v>1</v>
      </c>
      <c r="J280" s="594" t="s">
        <v>1048</v>
      </c>
      <c r="K280" s="569"/>
      <c r="L280" s="177"/>
      <c r="M280" s="178"/>
      <c r="N280" s="146"/>
      <c r="O280" s="173"/>
      <c r="P280" s="173"/>
      <c r="Q280" s="173"/>
      <c r="R280" s="150"/>
      <c r="S280" s="173"/>
      <c r="T280" s="238">
        <v>4</v>
      </c>
      <c r="U280" s="598">
        <f>SUM(E280:G280)</f>
        <v>2</v>
      </c>
      <c r="V280" s="1684">
        <f t="shared" ref="V280:V281" si="372">IF(U280/T280&gt;=100%,100%,U280/T280)</f>
        <v>0.5</v>
      </c>
      <c r="W280" s="1699">
        <v>0.8</v>
      </c>
      <c r="X280" s="1714">
        <v>0.8</v>
      </c>
      <c r="Y280" s="551">
        <v>140000000</v>
      </c>
      <c r="Z280" s="288">
        <f>199350000+47994825</f>
        <v>247344825</v>
      </c>
      <c r="AA280" s="551">
        <v>138446960</v>
      </c>
      <c r="AB280" s="1095">
        <f t="shared" si="348"/>
        <v>0.98890685714285709</v>
      </c>
      <c r="AC280" s="551">
        <v>133311376</v>
      </c>
      <c r="AD280" s="1104">
        <f t="shared" si="349"/>
        <v>0.9522241142857143</v>
      </c>
      <c r="AE280" s="1601">
        <f>+AA280-AC280</f>
        <v>5135584</v>
      </c>
      <c r="AF280" s="1569">
        <f>28998754+58350000</f>
        <v>87348754</v>
      </c>
      <c r="AG280" s="288">
        <f>25221330+54350000</f>
        <v>79571330</v>
      </c>
      <c r="AH280" s="1097">
        <f t="shared" si="350"/>
        <v>0.91096124851420324</v>
      </c>
      <c r="AI280" s="1603">
        <f>1400000000/2</f>
        <v>700000000</v>
      </c>
      <c r="AJ280" s="1603">
        <f t="shared" ref="AJ280:AJ285" si="373">+SUM(Z280:AA280)</f>
        <v>385791785</v>
      </c>
      <c r="AK280" s="1104">
        <f t="shared" si="351"/>
        <v>0.55113112142857146</v>
      </c>
      <c r="AL280" s="1615"/>
      <c r="AM280" s="155"/>
      <c r="AN280" s="151" t="s">
        <v>302</v>
      </c>
      <c r="AO280" s="1794" t="s">
        <v>895</v>
      </c>
      <c r="AP280" s="98"/>
      <c r="AQ280" s="98"/>
    </row>
    <row r="281" spans="1:43" ht="89.25" x14ac:dyDescent="0.25">
      <c r="A281" s="268" t="s">
        <v>698</v>
      </c>
      <c r="B281" s="359" t="s">
        <v>868</v>
      </c>
      <c r="C281" s="387">
        <v>0.5</v>
      </c>
      <c r="D281" s="320">
        <v>1</v>
      </c>
      <c r="E281" s="234">
        <v>0.5</v>
      </c>
      <c r="F281" s="169">
        <v>1</v>
      </c>
      <c r="G281" s="147"/>
      <c r="H281" s="167">
        <f t="shared" si="370"/>
        <v>1</v>
      </c>
      <c r="I281" s="520">
        <f t="shared" si="371"/>
        <v>1</v>
      </c>
      <c r="J281" s="594" t="s">
        <v>1049</v>
      </c>
      <c r="K281" s="569"/>
      <c r="L281" s="177"/>
      <c r="M281" s="178"/>
      <c r="N281" s="146"/>
      <c r="O281" s="173"/>
      <c r="P281" s="173"/>
      <c r="Q281" s="173"/>
      <c r="R281" s="150"/>
      <c r="S281" s="173"/>
      <c r="T281" s="238">
        <v>3</v>
      </c>
      <c r="U281" s="598">
        <f>SUM(E281:G281)</f>
        <v>1.5</v>
      </c>
      <c r="V281" s="1684">
        <f t="shared" si="372"/>
        <v>0.5</v>
      </c>
      <c r="W281" s="1699">
        <v>0.2</v>
      </c>
      <c r="X281" s="1714">
        <v>0.2</v>
      </c>
      <c r="Y281" s="551">
        <v>140000000</v>
      </c>
      <c r="Z281" s="288">
        <v>49311000</v>
      </c>
      <c r="AA281" s="551">
        <v>138446960</v>
      </c>
      <c r="AB281" s="1095">
        <f t="shared" si="348"/>
        <v>0.98890685714285709</v>
      </c>
      <c r="AC281" s="551">
        <v>133311376</v>
      </c>
      <c r="AD281" s="1104">
        <f t="shared" si="349"/>
        <v>0.9522241142857143</v>
      </c>
      <c r="AE281" s="1601">
        <f>+AA281-AC281</f>
        <v>5135584</v>
      </c>
      <c r="AF281" s="1569">
        <v>16211000</v>
      </c>
      <c r="AG281" s="288">
        <v>16211000</v>
      </c>
      <c r="AH281" s="1097">
        <f t="shared" si="350"/>
        <v>1</v>
      </c>
      <c r="AI281" s="1603">
        <f>1400000000/2</f>
        <v>700000000</v>
      </c>
      <c r="AJ281" s="1603">
        <f t="shared" si="373"/>
        <v>187757960</v>
      </c>
      <c r="AK281" s="894">
        <f t="shared" si="351"/>
        <v>0.26822565714285712</v>
      </c>
      <c r="AL281" s="1615"/>
      <c r="AM281" s="155"/>
      <c r="AN281" s="151" t="s">
        <v>302</v>
      </c>
      <c r="AO281" s="1794" t="s">
        <v>895</v>
      </c>
      <c r="AP281" s="98"/>
      <c r="AQ281" s="98"/>
    </row>
    <row r="282" spans="1:43" x14ac:dyDescent="0.25">
      <c r="A282" s="241" t="s">
        <v>509</v>
      </c>
      <c r="B282" s="140"/>
      <c r="C282" s="141"/>
      <c r="D282" s="187"/>
      <c r="E282" s="181"/>
      <c r="F282" s="141"/>
      <c r="G282" s="141"/>
      <c r="H282" s="142">
        <f>+SUMPRODUCT(H283:H283,W283:W283)</f>
        <v>1</v>
      </c>
      <c r="I282" s="157">
        <f>+SUMPRODUCT(I283:I283,X283:X283)</f>
        <v>0.91300000000000003</v>
      </c>
      <c r="J282" s="593"/>
      <c r="K282" s="571"/>
      <c r="L282" s="143"/>
      <c r="M282" s="144"/>
      <c r="N282" s="144"/>
      <c r="O282" s="172"/>
      <c r="P282" s="172"/>
      <c r="Q282" s="172"/>
      <c r="R282" s="158"/>
      <c r="S282" s="172"/>
      <c r="T282" s="193"/>
      <c r="U282" s="202"/>
      <c r="V282" s="165">
        <f>+SUMPRODUCT(V283:V283,W283:W283)</f>
        <v>0.47825000000000006</v>
      </c>
      <c r="W282" s="142">
        <v>0.2</v>
      </c>
      <c r="X282" s="394">
        <v>0.2</v>
      </c>
      <c r="Y282" s="559">
        <f>SUM(Y283)</f>
        <v>85000000</v>
      </c>
      <c r="Z282" s="559">
        <f>SUM(Z283)</f>
        <v>79200000</v>
      </c>
      <c r="AA282" s="559">
        <f>SUM(AA283)</f>
        <v>84068979</v>
      </c>
      <c r="AB282" s="207">
        <f t="shared" si="348"/>
        <v>0.98904681176470588</v>
      </c>
      <c r="AC282" s="559">
        <f>SUM(AC283)</f>
        <v>80987179</v>
      </c>
      <c r="AD282" s="556">
        <f t="shared" si="349"/>
        <v>0.95279034117647055</v>
      </c>
      <c r="AE282" s="1229">
        <f>SUM(AE283)</f>
        <v>3081800</v>
      </c>
      <c r="AF282" s="144">
        <f>SUM(AF283)</f>
        <v>16100000</v>
      </c>
      <c r="AG282" s="559">
        <f>SUM(AG283)</f>
        <v>16100000</v>
      </c>
      <c r="AH282" s="505">
        <f t="shared" si="350"/>
        <v>1</v>
      </c>
      <c r="AI282" s="559">
        <f t="shared" ref="AI282:AJ282" si="374">SUM(AI283)</f>
        <v>400000000</v>
      </c>
      <c r="AJ282" s="559">
        <f t="shared" si="374"/>
        <v>163268979</v>
      </c>
      <c r="AK282" s="1227">
        <f t="shared" si="351"/>
        <v>0.40817244749999998</v>
      </c>
      <c r="AL282" s="166"/>
      <c r="AM282" s="159"/>
      <c r="AN282" s="482"/>
      <c r="AO282" s="1229"/>
      <c r="AP282" s="101"/>
      <c r="AQ282" s="101"/>
    </row>
    <row r="283" spans="1:43" ht="89.25" x14ac:dyDescent="0.25">
      <c r="A283" s="269" t="s">
        <v>699</v>
      </c>
      <c r="B283" s="360" t="s">
        <v>869</v>
      </c>
      <c r="C283" s="387">
        <v>1</v>
      </c>
      <c r="D283" s="320">
        <v>1</v>
      </c>
      <c r="E283" s="234">
        <v>0.88</v>
      </c>
      <c r="F283" s="169">
        <v>0.91300000000000003</v>
      </c>
      <c r="G283" s="169">
        <v>0.12</v>
      </c>
      <c r="H283" s="167">
        <f>IF((E283+G283)/C283&gt;=100%,100%,(E283+G283)/C283)</f>
        <v>1</v>
      </c>
      <c r="I283" s="520">
        <f t="shared" ref="I283" si="375">IF(F283/D283&gt;=100%,100%,F283/D283)</f>
        <v>0.91300000000000003</v>
      </c>
      <c r="J283" s="594" t="s">
        <v>1050</v>
      </c>
      <c r="K283" s="569"/>
      <c r="L283" s="177"/>
      <c r="M283" s="178"/>
      <c r="N283" s="146"/>
      <c r="O283" s="173"/>
      <c r="P283" s="173"/>
      <c r="Q283" s="173"/>
      <c r="R283" s="150"/>
      <c r="S283" s="173"/>
      <c r="T283" s="238">
        <v>4</v>
      </c>
      <c r="U283" s="598">
        <f>SUM(E283:G283)</f>
        <v>1.9130000000000003</v>
      </c>
      <c r="V283" s="1684">
        <f t="shared" ref="V283" si="376">IF(U283/T283&gt;=100%,100%,U283/T283)</f>
        <v>0.47825000000000006</v>
      </c>
      <c r="W283" s="322">
        <v>1</v>
      </c>
      <c r="X283" s="445">
        <v>1</v>
      </c>
      <c r="Y283" s="480">
        <v>85000000</v>
      </c>
      <c r="Z283" s="288">
        <v>79200000</v>
      </c>
      <c r="AA283" s="480">
        <v>84068979</v>
      </c>
      <c r="AB283" s="1095">
        <f t="shared" si="348"/>
        <v>0.98904681176470588</v>
      </c>
      <c r="AC283" s="480">
        <v>80987179</v>
      </c>
      <c r="AD283" s="1104">
        <f t="shared" si="349"/>
        <v>0.95279034117647055</v>
      </c>
      <c r="AE283" s="1601">
        <f>+AA283-AC283</f>
        <v>3081800</v>
      </c>
      <c r="AF283" s="1569">
        <v>16100000</v>
      </c>
      <c r="AG283" s="288">
        <v>16100000</v>
      </c>
      <c r="AH283" s="1097">
        <f t="shared" si="350"/>
        <v>1</v>
      </c>
      <c r="AI283" s="1603">
        <v>400000000</v>
      </c>
      <c r="AJ283" s="1603">
        <f t="shared" si="373"/>
        <v>163268979</v>
      </c>
      <c r="AK283" s="894">
        <f t="shared" si="351"/>
        <v>0.40817244749999998</v>
      </c>
      <c r="AL283" s="1615"/>
      <c r="AM283" s="155"/>
      <c r="AN283" s="151" t="s">
        <v>302</v>
      </c>
      <c r="AO283" s="1802" t="s">
        <v>929</v>
      </c>
      <c r="AP283" s="98"/>
      <c r="AQ283" s="98"/>
    </row>
    <row r="284" spans="1:43" x14ac:dyDescent="0.25">
      <c r="A284" s="241" t="s">
        <v>510</v>
      </c>
      <c r="B284" s="140"/>
      <c r="C284" s="141"/>
      <c r="D284" s="187"/>
      <c r="E284" s="181"/>
      <c r="F284" s="141"/>
      <c r="G284" s="141"/>
      <c r="H284" s="142">
        <f>+SUMPRODUCT(H285:H285,W285:W285)</f>
        <v>1</v>
      </c>
      <c r="I284" s="157">
        <f>+SUMPRODUCT(I285:I285,X285:X285)</f>
        <v>1</v>
      </c>
      <c r="J284" s="593"/>
      <c r="K284" s="571"/>
      <c r="L284" s="143"/>
      <c r="M284" s="144"/>
      <c r="N284" s="144"/>
      <c r="O284" s="172"/>
      <c r="P284" s="172"/>
      <c r="Q284" s="172"/>
      <c r="R284" s="158"/>
      <c r="S284" s="172"/>
      <c r="T284" s="193"/>
      <c r="U284" s="202"/>
      <c r="V284" s="165">
        <f>+SUMPRODUCT(V285:V285,W285:W285)</f>
        <v>0.5</v>
      </c>
      <c r="W284" s="142">
        <v>0.4</v>
      </c>
      <c r="X284" s="394">
        <v>0.4</v>
      </c>
      <c r="Y284" s="559">
        <f>SUM(Y285)</f>
        <v>280000000</v>
      </c>
      <c r="Z284" s="559">
        <f>SUM(Z285)</f>
        <v>215750000</v>
      </c>
      <c r="AA284" s="559">
        <f>SUM(AA285)</f>
        <v>274337107.66000003</v>
      </c>
      <c r="AB284" s="207">
        <f t="shared" si="348"/>
        <v>0.97977538450000012</v>
      </c>
      <c r="AC284" s="559">
        <f>SUM(AC285)</f>
        <v>261625597</v>
      </c>
      <c r="AD284" s="556">
        <f t="shared" si="349"/>
        <v>0.93437713214285711</v>
      </c>
      <c r="AE284" s="1229">
        <f>SUM(AE285)</f>
        <v>12711510.660000026</v>
      </c>
      <c r="AF284" s="144">
        <f>SUM(AF285)</f>
        <v>78300000</v>
      </c>
      <c r="AG284" s="559">
        <f>SUM(AG285)</f>
        <v>48300000</v>
      </c>
      <c r="AH284" s="505">
        <f t="shared" si="350"/>
        <v>0.61685823754789271</v>
      </c>
      <c r="AI284" s="559">
        <f>SUM(AI285)</f>
        <v>1200000000</v>
      </c>
      <c r="AJ284" s="559">
        <f>SUM(AJ285)</f>
        <v>490087107.66000003</v>
      </c>
      <c r="AK284" s="1227">
        <f t="shared" si="351"/>
        <v>0.40840592305000001</v>
      </c>
      <c r="AL284" s="166"/>
      <c r="AM284" s="159"/>
      <c r="AN284" s="482"/>
      <c r="AO284" s="1229"/>
      <c r="AP284" s="101"/>
      <c r="AQ284" s="101"/>
    </row>
    <row r="285" spans="1:43" ht="102.75" thickBot="1" x14ac:dyDescent="0.3">
      <c r="A285" s="271" t="s">
        <v>700</v>
      </c>
      <c r="B285" s="647" t="s">
        <v>870</v>
      </c>
      <c r="C285" s="648">
        <v>1</v>
      </c>
      <c r="D285" s="649">
        <v>1</v>
      </c>
      <c r="E285" s="650">
        <v>1</v>
      </c>
      <c r="F285" s="179">
        <v>1</v>
      </c>
      <c r="G285" s="573"/>
      <c r="H285" s="561">
        <f>IF((E285+G285)/C285&gt;=100%,100%,(E285+G285)/C285)</f>
        <v>1</v>
      </c>
      <c r="I285" s="557">
        <f t="shared" ref="I285" si="377">IF(F285/D285&gt;=100%,100%,F285/D285)</f>
        <v>1</v>
      </c>
      <c r="J285" s="594" t="s">
        <v>1051</v>
      </c>
      <c r="K285" s="569"/>
      <c r="L285" s="177"/>
      <c r="M285" s="178"/>
      <c r="N285" s="568"/>
      <c r="O285" s="173"/>
      <c r="P285" s="173"/>
      <c r="Q285" s="173"/>
      <c r="R285" s="574"/>
      <c r="S285" s="173"/>
      <c r="T285" s="651">
        <v>4</v>
      </c>
      <c r="U285" s="894">
        <f>SUM(E285:G285)</f>
        <v>2</v>
      </c>
      <c r="V285" s="1679">
        <f t="shared" ref="V285" si="378">IF(U285/T285&gt;=100%,100%,U285/T285)</f>
        <v>0.5</v>
      </c>
      <c r="W285" s="652">
        <v>1</v>
      </c>
      <c r="X285" s="653">
        <v>1</v>
      </c>
      <c r="Y285" s="654">
        <v>280000000</v>
      </c>
      <c r="Z285" s="655">
        <v>215750000</v>
      </c>
      <c r="AA285" s="654">
        <v>274337107.66000003</v>
      </c>
      <c r="AB285" s="1610">
        <f t="shared" si="348"/>
        <v>0.97977538450000012</v>
      </c>
      <c r="AC285" s="654">
        <v>261625597</v>
      </c>
      <c r="AD285" s="1104">
        <f t="shared" si="349"/>
        <v>0.93437713214285711</v>
      </c>
      <c r="AE285" s="1611">
        <f>+AA285-AC285</f>
        <v>12711510.660000026</v>
      </c>
      <c r="AF285" s="1568">
        <v>78300000</v>
      </c>
      <c r="AG285" s="655">
        <v>48300000</v>
      </c>
      <c r="AH285" s="1612">
        <f t="shared" si="350"/>
        <v>0.61685823754789271</v>
      </c>
      <c r="AI285" s="1614">
        <v>1200000000</v>
      </c>
      <c r="AJ285" s="1614">
        <f t="shared" si="373"/>
        <v>490087107.66000003</v>
      </c>
      <c r="AK285" s="894">
        <f t="shared" si="351"/>
        <v>0.40840592305000001</v>
      </c>
      <c r="AL285" s="162"/>
      <c r="AM285" s="162"/>
      <c r="AN285" s="589" t="s">
        <v>302</v>
      </c>
      <c r="AO285" s="1795" t="s">
        <v>895</v>
      </c>
      <c r="AP285" s="594"/>
      <c r="AQ285" s="594"/>
    </row>
    <row r="286" spans="1:43" s="554" customFormat="1" ht="51.75" thickBot="1" x14ac:dyDescent="0.3">
      <c r="A286" s="628" t="s">
        <v>452</v>
      </c>
      <c r="B286" s="629"/>
      <c r="C286" s="630"/>
      <c r="D286" s="631"/>
      <c r="E286" s="632"/>
      <c r="F286" s="630"/>
      <c r="G286" s="630"/>
      <c r="H286" s="633">
        <f>+(H287*0%)+(H289*100%)</f>
        <v>1</v>
      </c>
      <c r="I286" s="644">
        <f>+(I287*X287)+(I289*X289)</f>
        <v>0.95</v>
      </c>
      <c r="J286" s="634"/>
      <c r="K286" s="635"/>
      <c r="L286" s="636"/>
      <c r="M286" s="637"/>
      <c r="N286" s="637"/>
      <c r="O286" s="638"/>
      <c r="P286" s="638"/>
      <c r="Q286" s="638"/>
      <c r="R286" s="639"/>
      <c r="S286" s="638"/>
      <c r="T286" s="640"/>
      <c r="U286" s="641"/>
      <c r="V286" s="680">
        <f>+(V287*W287)+(V289*W289)</f>
        <v>0.57000000000000006</v>
      </c>
      <c r="W286" s="646">
        <v>0.1</v>
      </c>
      <c r="X286" s="657">
        <v>0.1</v>
      </c>
      <c r="Y286" s="642">
        <f>+Y287+Y289</f>
        <v>1140000000</v>
      </c>
      <c r="Z286" s="642">
        <f>+Z287+Z289</f>
        <v>516510025</v>
      </c>
      <c r="AA286" s="642">
        <f>+AA287+AA289</f>
        <v>767376643.79999995</v>
      </c>
      <c r="AB286" s="643">
        <f t="shared" si="348"/>
        <v>0.67313740684210521</v>
      </c>
      <c r="AC286" s="642">
        <f>+AC287+AC289</f>
        <v>342271445</v>
      </c>
      <c r="AD286" s="646">
        <f t="shared" si="349"/>
        <v>0.30023810964912279</v>
      </c>
      <c r="AE286" s="629">
        <f>+AE287+AE289</f>
        <v>425105198.79999995</v>
      </c>
      <c r="AF286" s="637">
        <f>+AF287+AF289</f>
        <v>54314523</v>
      </c>
      <c r="AG286" s="642">
        <f>+AG287+AG289</f>
        <v>51321583</v>
      </c>
      <c r="AH286" s="645">
        <f t="shared" si="350"/>
        <v>0.94489613763155023</v>
      </c>
      <c r="AI286" s="642">
        <f>+AI287+AI289</f>
        <v>9285000000</v>
      </c>
      <c r="AJ286" s="642">
        <f>+AJ287+AJ289</f>
        <v>1283886668.8</v>
      </c>
      <c r="AK286" s="1697">
        <f t="shared" si="351"/>
        <v>0.1382753547442111</v>
      </c>
      <c r="AL286" s="636"/>
      <c r="AM286" s="636" t="s">
        <v>301</v>
      </c>
      <c r="AN286" s="637"/>
      <c r="AO286" s="629"/>
      <c r="AP286" s="634"/>
      <c r="AQ286" s="634"/>
    </row>
    <row r="287" spans="1:43" x14ac:dyDescent="0.25">
      <c r="A287" s="252" t="s">
        <v>511</v>
      </c>
      <c r="B287" s="344"/>
      <c r="C287" s="611"/>
      <c r="D287" s="612"/>
      <c r="E287" s="613"/>
      <c r="F287" s="611"/>
      <c r="G287" s="611"/>
      <c r="H287" s="220">
        <v>0</v>
      </c>
      <c r="I287" s="622">
        <f>+SUMPRODUCT(I288:I288,X288:X288)</f>
        <v>0</v>
      </c>
      <c r="J287" s="614"/>
      <c r="K287" s="615"/>
      <c r="L287" s="196"/>
      <c r="M287" s="590"/>
      <c r="N287" s="590"/>
      <c r="O287" s="616"/>
      <c r="P287" s="616"/>
      <c r="Q287" s="616"/>
      <c r="R287" s="617"/>
      <c r="S287" s="616"/>
      <c r="T287" s="618"/>
      <c r="U287" s="202"/>
      <c r="V287" s="656">
        <f>+SUMPRODUCT(V288:V288,W288:W288)</f>
        <v>0</v>
      </c>
      <c r="W287" s="220">
        <v>0.05</v>
      </c>
      <c r="X287" s="619">
        <v>0.05</v>
      </c>
      <c r="Y287" s="620">
        <f>SUM(Y288)</f>
        <v>90000000</v>
      </c>
      <c r="Z287" s="620">
        <f>SUM(Z288)</f>
        <v>0</v>
      </c>
      <c r="AA287" s="620">
        <f>SUM(AA288)</f>
        <v>13303871</v>
      </c>
      <c r="AB287" s="621">
        <f t="shared" si="348"/>
        <v>0.14782078888888889</v>
      </c>
      <c r="AC287" s="620">
        <f>SUM(AC288)</f>
        <v>3262173</v>
      </c>
      <c r="AD287" s="1696">
        <f t="shared" si="349"/>
        <v>3.6246366666666668E-2</v>
      </c>
      <c r="AE287" s="1518">
        <f>SUM(AE288)</f>
        <v>10041698</v>
      </c>
      <c r="AF287" s="590">
        <f>SUM(AF288)</f>
        <v>0</v>
      </c>
      <c r="AG287" s="620">
        <f>SUM(AG288)</f>
        <v>0</v>
      </c>
      <c r="AH287" s="505" t="e">
        <f t="shared" si="350"/>
        <v>#DIV/0!</v>
      </c>
      <c r="AI287" s="620">
        <f>SUM(AI288)</f>
        <v>240000000</v>
      </c>
      <c r="AJ287" s="620">
        <f>SUM(AJ288)</f>
        <v>13303871</v>
      </c>
      <c r="AK287" s="1696">
        <f t="shared" si="351"/>
        <v>5.5432795833333333E-2</v>
      </c>
      <c r="AL287" s="624"/>
      <c r="AM287" s="625"/>
      <c r="AN287" s="626"/>
      <c r="AO287" s="1518"/>
      <c r="AP287" s="627"/>
      <c r="AQ287" s="627"/>
    </row>
    <row r="288" spans="1:43" ht="89.25" x14ac:dyDescent="0.25">
      <c r="A288" s="269" t="s">
        <v>701</v>
      </c>
      <c r="B288" s="360" t="s">
        <v>871</v>
      </c>
      <c r="C288" s="389">
        <v>0</v>
      </c>
      <c r="D288" s="186">
        <v>1</v>
      </c>
      <c r="E288" s="182">
        <v>0</v>
      </c>
      <c r="F288" s="147">
        <v>0</v>
      </c>
      <c r="G288" s="147"/>
      <c r="H288" s="167" t="e">
        <f>IF((E288+G288)/C288&gt;=100%,100%,(E288+G288)/C288)</f>
        <v>#DIV/0!</v>
      </c>
      <c r="I288" s="520">
        <f t="shared" ref="I288" si="379">IF(F288/D288&gt;=100%,100%,F288/D288)</f>
        <v>0</v>
      </c>
      <c r="J288" s="594" t="s">
        <v>1052</v>
      </c>
      <c r="K288" s="569"/>
      <c r="L288" s="177"/>
      <c r="M288" s="178"/>
      <c r="N288" s="146"/>
      <c r="O288" s="173"/>
      <c r="P288" s="173"/>
      <c r="Q288" s="173"/>
      <c r="R288" s="150"/>
      <c r="S288" s="173"/>
      <c r="T288" s="194">
        <v>2</v>
      </c>
      <c r="U288" s="195">
        <f>SUM(E288:G288)</f>
        <v>0</v>
      </c>
      <c r="V288" s="170">
        <f t="shared" ref="V288" si="380">IF(U288/T288&gt;=100%,100%,U288/T288)</f>
        <v>0</v>
      </c>
      <c r="W288" s="322">
        <v>1</v>
      </c>
      <c r="X288" s="445">
        <v>1</v>
      </c>
      <c r="Y288" s="480">
        <v>90000000</v>
      </c>
      <c r="Z288" s="288">
        <v>0</v>
      </c>
      <c r="AA288" s="480">
        <v>13303871</v>
      </c>
      <c r="AB288" s="1095">
        <f t="shared" si="348"/>
        <v>0.14782078888888889</v>
      </c>
      <c r="AC288" s="480">
        <v>3262173</v>
      </c>
      <c r="AD288" s="894">
        <f t="shared" si="349"/>
        <v>3.6246366666666668E-2</v>
      </c>
      <c r="AE288" s="1601">
        <f>+AA288-AC288</f>
        <v>10041698</v>
      </c>
      <c r="AF288" s="1569">
        <v>0</v>
      </c>
      <c r="AG288" s="288">
        <v>0</v>
      </c>
      <c r="AH288" s="1097" t="e">
        <f t="shared" si="350"/>
        <v>#DIV/0!</v>
      </c>
      <c r="AI288" s="1603">
        <v>240000000</v>
      </c>
      <c r="AJ288" s="1603">
        <f t="shared" ref="AJ288:AJ292" si="381">+SUM(Z288:AA288)</f>
        <v>13303871</v>
      </c>
      <c r="AK288" s="894">
        <f t="shared" si="351"/>
        <v>5.5432795833333333E-2</v>
      </c>
      <c r="AL288" s="1615"/>
      <c r="AM288" s="155"/>
      <c r="AN288" s="151" t="s">
        <v>302</v>
      </c>
      <c r="AO288" s="1796" t="s">
        <v>918</v>
      </c>
      <c r="AP288" s="98"/>
      <c r="AQ288" s="98"/>
    </row>
    <row r="289" spans="1:43" x14ac:dyDescent="0.25">
      <c r="A289" s="241" t="s">
        <v>512</v>
      </c>
      <c r="B289" s="140"/>
      <c r="C289" s="141"/>
      <c r="D289" s="187"/>
      <c r="E289" s="181"/>
      <c r="F289" s="141"/>
      <c r="G289" s="141"/>
      <c r="H289" s="142">
        <f>+(H290*50%)+(H291*50%)</f>
        <v>1</v>
      </c>
      <c r="I289" s="157">
        <f>+SUMPRODUCT(I290:I292,X290:X292)</f>
        <v>1</v>
      </c>
      <c r="J289" s="593"/>
      <c r="K289" s="571"/>
      <c r="L289" s="143"/>
      <c r="M289" s="144"/>
      <c r="N289" s="144"/>
      <c r="O289" s="172"/>
      <c r="P289" s="172"/>
      <c r="Q289" s="172"/>
      <c r="R289" s="158"/>
      <c r="S289" s="172"/>
      <c r="T289" s="193"/>
      <c r="U289" s="202"/>
      <c r="V289" s="165">
        <f>+SUMPRODUCT(V290:V292,W290:W292)</f>
        <v>0.60000000000000009</v>
      </c>
      <c r="W289" s="142">
        <v>0.95</v>
      </c>
      <c r="X289" s="394">
        <v>0.95</v>
      </c>
      <c r="Y289" s="559">
        <f>SUM(Y290:Y292)</f>
        <v>1050000000</v>
      </c>
      <c r="Z289" s="559">
        <f>SUM(Z290:Z292)</f>
        <v>516510025</v>
      </c>
      <c r="AA289" s="559">
        <f>SUM(AA290:AA292)</f>
        <v>754072772.79999995</v>
      </c>
      <c r="AB289" s="207">
        <f t="shared" si="348"/>
        <v>0.71816454552380948</v>
      </c>
      <c r="AC289" s="559">
        <f>SUM(AC290:AC292)</f>
        <v>339009272</v>
      </c>
      <c r="AD289" s="1227">
        <f t="shared" si="349"/>
        <v>0.32286597333333333</v>
      </c>
      <c r="AE289" s="1229">
        <f>SUM(AE290:AE292)</f>
        <v>415063500.79999995</v>
      </c>
      <c r="AF289" s="482">
        <f>SUM(AF290:AF292)</f>
        <v>54314523</v>
      </c>
      <c r="AG289" s="145">
        <f>SUM(AG290:AG292)</f>
        <v>51321583</v>
      </c>
      <c r="AH289" s="505">
        <f t="shared" si="350"/>
        <v>0.94489613763155023</v>
      </c>
      <c r="AI289" s="559">
        <f t="shared" ref="AI289:AJ289" si="382">SUM(AI290:AI292)</f>
        <v>9045000000</v>
      </c>
      <c r="AJ289" s="559">
        <f t="shared" si="382"/>
        <v>1270582797.8</v>
      </c>
      <c r="AK289" s="1227">
        <f t="shared" si="351"/>
        <v>0.14047349892758429</v>
      </c>
      <c r="AL289" s="166"/>
      <c r="AM289" s="159"/>
      <c r="AN289" s="482"/>
      <c r="AO289" s="1229"/>
      <c r="AP289" s="101"/>
      <c r="AQ289" s="101"/>
    </row>
    <row r="290" spans="1:43" ht="25.5" x14ac:dyDescent="0.25">
      <c r="A290" s="270" t="s">
        <v>702</v>
      </c>
      <c r="B290" s="361" t="s">
        <v>888</v>
      </c>
      <c r="C290" s="391">
        <v>1</v>
      </c>
      <c r="D290" s="323">
        <v>1</v>
      </c>
      <c r="E290" s="240">
        <v>0.78</v>
      </c>
      <c r="F290" s="600">
        <v>1</v>
      </c>
      <c r="G290" s="169">
        <v>0.22</v>
      </c>
      <c r="H290" s="167">
        <f t="shared" ref="H290:H292" si="383">IF((E290+G290)/C290&gt;=100%,100%,(E290+G290)/C290)</f>
        <v>1</v>
      </c>
      <c r="I290" s="520">
        <f t="shared" ref="I290:I292" si="384">IF(F290/D290&gt;=100%,100%,F290/D290)</f>
        <v>1</v>
      </c>
      <c r="J290" s="1099" t="s">
        <v>1131</v>
      </c>
      <c r="K290" s="1088"/>
      <c r="L290" s="1641"/>
      <c r="M290" s="1642"/>
      <c r="N290" s="1085"/>
      <c r="O290" s="1090"/>
      <c r="P290" s="1090"/>
      <c r="Q290" s="1090"/>
      <c r="R290" s="1091"/>
      <c r="S290" s="1090"/>
      <c r="T290" s="240">
        <v>4</v>
      </c>
      <c r="U290" s="598">
        <f>SUM(E290:G290)</f>
        <v>2</v>
      </c>
      <c r="V290" s="1684">
        <f t="shared" ref="V290:V292" si="385">IF(U290/T290&gt;=100%,100%,U290/T290)</f>
        <v>0.5</v>
      </c>
      <c r="W290" s="427">
        <v>0.4</v>
      </c>
      <c r="X290" s="446">
        <v>0.4</v>
      </c>
      <c r="Y290" s="481">
        <v>200000000</v>
      </c>
      <c r="Z290" s="289">
        <f>51250000+465260025</f>
        <v>516510025</v>
      </c>
      <c r="AA290" s="481">
        <v>163961645</v>
      </c>
      <c r="AB290" s="1095">
        <f t="shared" si="348"/>
        <v>0.81980822499999995</v>
      </c>
      <c r="AC290" s="481">
        <v>132837706</v>
      </c>
      <c r="AD290" s="1104">
        <f t="shared" si="349"/>
        <v>0.66418853</v>
      </c>
      <c r="AE290" s="1601">
        <f>+AA290-AC290</f>
        <v>31123939</v>
      </c>
      <c r="AF290" s="1571">
        <f>38664523+15650000</f>
        <v>54314523</v>
      </c>
      <c r="AG290" s="289">
        <f>35671583+15650000</f>
        <v>51321583</v>
      </c>
      <c r="AH290" s="1097">
        <f t="shared" si="350"/>
        <v>0.94489613763155023</v>
      </c>
      <c r="AI290" s="1603">
        <v>845000000</v>
      </c>
      <c r="AJ290" s="1603">
        <f t="shared" si="381"/>
        <v>680471670</v>
      </c>
      <c r="AK290" s="1104">
        <f t="shared" si="351"/>
        <v>0.80529191715976334</v>
      </c>
      <c r="AL290" s="1615"/>
      <c r="AM290" s="155"/>
      <c r="AN290" s="151" t="s">
        <v>302</v>
      </c>
      <c r="AO290" s="1801" t="s">
        <v>895</v>
      </c>
      <c r="AP290" s="98"/>
      <c r="AQ290" s="98"/>
    </row>
    <row r="291" spans="1:43" ht="51" x14ac:dyDescent="0.25">
      <c r="A291" s="270" t="s">
        <v>703</v>
      </c>
      <c r="B291" s="361" t="s">
        <v>889</v>
      </c>
      <c r="C291" s="391">
        <v>1</v>
      </c>
      <c r="D291" s="323">
        <v>1</v>
      </c>
      <c r="E291" s="240">
        <v>0.93</v>
      </c>
      <c r="F291" s="169">
        <v>1</v>
      </c>
      <c r="G291" s="169">
        <v>7.0000000000000007E-2</v>
      </c>
      <c r="H291" s="167">
        <f t="shared" si="383"/>
        <v>1</v>
      </c>
      <c r="I291" s="520">
        <f t="shared" si="384"/>
        <v>1</v>
      </c>
      <c r="J291" s="604" t="s">
        <v>1053</v>
      </c>
      <c r="K291" s="1088"/>
      <c r="L291" s="1641"/>
      <c r="M291" s="1642"/>
      <c r="N291" s="1085"/>
      <c r="O291" s="1090"/>
      <c r="P291" s="1090"/>
      <c r="Q291" s="1090"/>
      <c r="R291" s="1091"/>
      <c r="S291" s="1090"/>
      <c r="T291" s="240">
        <v>4</v>
      </c>
      <c r="U291" s="598">
        <f>SUM(E291:G291)</f>
        <v>2</v>
      </c>
      <c r="V291" s="1684">
        <f t="shared" si="385"/>
        <v>0.5</v>
      </c>
      <c r="W291" s="427">
        <v>0.4</v>
      </c>
      <c r="X291" s="446">
        <v>0.4</v>
      </c>
      <c r="Y291" s="481">
        <v>850000000</v>
      </c>
      <c r="Z291" s="289">
        <v>0</v>
      </c>
      <c r="AA291" s="481">
        <v>590111127.79999995</v>
      </c>
      <c r="AB291" s="1095">
        <f t="shared" si="348"/>
        <v>0.69424838564705882</v>
      </c>
      <c r="AC291" s="481">
        <v>206171566</v>
      </c>
      <c r="AD291" s="894">
        <f t="shared" si="349"/>
        <v>0.24255478352941176</v>
      </c>
      <c r="AE291" s="1601">
        <f>+AA291-AC291</f>
        <v>383939561.79999995</v>
      </c>
      <c r="AF291" s="1571">
        <v>0</v>
      </c>
      <c r="AG291" s="289">
        <v>0</v>
      </c>
      <c r="AH291" s="1097" t="e">
        <f t="shared" si="350"/>
        <v>#DIV/0!</v>
      </c>
      <c r="AI291" s="1603">
        <v>7500000000</v>
      </c>
      <c r="AJ291" s="1603">
        <f t="shared" si="381"/>
        <v>590111127.79999995</v>
      </c>
      <c r="AK291" s="894">
        <f t="shared" si="351"/>
        <v>7.8681483706666666E-2</v>
      </c>
      <c r="AL291" s="1615"/>
      <c r="AM291" s="155"/>
      <c r="AN291" s="151" t="s">
        <v>302</v>
      </c>
      <c r="AO291" s="1801" t="s">
        <v>895</v>
      </c>
      <c r="AP291" s="98"/>
      <c r="AQ291" s="98"/>
    </row>
    <row r="292" spans="1:43" ht="51.75" thickBot="1" x14ac:dyDescent="0.3">
      <c r="A292" s="606" t="s">
        <v>704</v>
      </c>
      <c r="B292" s="607" t="s">
        <v>872</v>
      </c>
      <c r="C292" s="608">
        <v>0</v>
      </c>
      <c r="D292" s="609">
        <v>4</v>
      </c>
      <c r="E292" s="572">
        <v>0</v>
      </c>
      <c r="F292" s="573">
        <v>4</v>
      </c>
      <c r="G292" s="573"/>
      <c r="H292" s="561" t="e">
        <f t="shared" si="383"/>
        <v>#DIV/0!</v>
      </c>
      <c r="I292" s="557">
        <f t="shared" si="384"/>
        <v>1</v>
      </c>
      <c r="J292" s="604" t="s">
        <v>1054</v>
      </c>
      <c r="K292" s="1088"/>
      <c r="L292" s="1641"/>
      <c r="M292" s="1642"/>
      <c r="N292" s="1640"/>
      <c r="O292" s="1090"/>
      <c r="P292" s="1090"/>
      <c r="Q292" s="1090"/>
      <c r="R292" s="1643"/>
      <c r="S292" s="1090"/>
      <c r="T292" s="572">
        <v>4</v>
      </c>
      <c r="U292" s="935">
        <f>SUM(E292:G292)</f>
        <v>4</v>
      </c>
      <c r="V292" s="1679">
        <f t="shared" si="385"/>
        <v>1</v>
      </c>
      <c r="W292" s="576">
        <v>0.2</v>
      </c>
      <c r="X292" s="577">
        <v>0.2</v>
      </c>
      <c r="Y292" s="578">
        <v>0</v>
      </c>
      <c r="Z292" s="579">
        <v>0</v>
      </c>
      <c r="AA292" s="578"/>
      <c r="AB292" s="1610" t="e">
        <f t="shared" si="348"/>
        <v>#DIV/0!</v>
      </c>
      <c r="AC292" s="1732"/>
      <c r="AD292" s="935" t="e">
        <f t="shared" si="349"/>
        <v>#DIV/0!</v>
      </c>
      <c r="AE292" s="1611"/>
      <c r="AF292" s="1570">
        <v>0</v>
      </c>
      <c r="AG292" s="579">
        <v>0</v>
      </c>
      <c r="AH292" s="1612" t="e">
        <f t="shared" si="350"/>
        <v>#DIV/0!</v>
      </c>
      <c r="AI292" s="1614">
        <v>700000000</v>
      </c>
      <c r="AJ292" s="1614">
        <f t="shared" si="381"/>
        <v>0</v>
      </c>
      <c r="AK292" s="894">
        <f t="shared" si="351"/>
        <v>0</v>
      </c>
      <c r="AL292" s="1615"/>
      <c r="AM292" s="610"/>
      <c r="AN292" s="589" t="s">
        <v>302</v>
      </c>
      <c r="AO292" s="1803" t="s">
        <v>895</v>
      </c>
      <c r="AP292" s="594"/>
      <c r="AQ292" s="594"/>
    </row>
    <row r="293" spans="1:43" s="554" customFormat="1" ht="13.5" thickBot="1" x14ac:dyDescent="0.3">
      <c r="A293" s="628" t="s">
        <v>1515</v>
      </c>
      <c r="B293" s="629"/>
      <c r="C293" s="630"/>
      <c r="D293" s="631"/>
      <c r="E293" s="632"/>
      <c r="F293" s="630"/>
      <c r="G293" s="630"/>
      <c r="H293" s="633">
        <f>+H294*W294</f>
        <v>1</v>
      </c>
      <c r="I293" s="633">
        <f>+I294*X294</f>
        <v>0.69069916563960898</v>
      </c>
      <c r="J293" s="634"/>
      <c r="K293" s="635"/>
      <c r="L293" s="636"/>
      <c r="M293" s="637"/>
      <c r="N293" s="637"/>
      <c r="O293" s="638"/>
      <c r="P293" s="638"/>
      <c r="Q293" s="638"/>
      <c r="R293" s="639"/>
      <c r="S293" s="638"/>
      <c r="T293" s="640"/>
      <c r="U293" s="641"/>
      <c r="V293" s="633">
        <f>+V294*W294</f>
        <v>0.28816214507012328</v>
      </c>
      <c r="W293" s="646">
        <v>0.01</v>
      </c>
      <c r="X293" s="657">
        <v>0.01</v>
      </c>
      <c r="Y293" s="642">
        <f>+Y294</f>
        <v>6628530984</v>
      </c>
      <c r="Z293" s="642">
        <f>+Z294</f>
        <v>6107311808</v>
      </c>
      <c r="AA293" s="642">
        <f>+AA294</f>
        <v>6515110547</v>
      </c>
      <c r="AB293" s="643">
        <f>+AA293/Y293</f>
        <v>0.98288905380788361</v>
      </c>
      <c r="AC293" s="642">
        <f>+AC294</f>
        <v>6500860547</v>
      </c>
      <c r="AD293" s="644">
        <f t="shared" si="349"/>
        <v>0.98073925620802382</v>
      </c>
      <c r="AE293" s="629">
        <f>+AA293-AC293</f>
        <v>14250000</v>
      </c>
      <c r="AF293" s="637">
        <f>+AF294</f>
        <v>101991641</v>
      </c>
      <c r="AG293" s="642">
        <f>+AG294</f>
        <v>2218394</v>
      </c>
      <c r="AH293" s="645">
        <f t="shared" si="350"/>
        <v>2.1750743279049703E-2</v>
      </c>
      <c r="AI293" s="642">
        <f>+AI294</f>
        <v>47060000000</v>
      </c>
      <c r="AJ293" s="642">
        <f>+SUM(Z293:AA293)</f>
        <v>12622422355</v>
      </c>
      <c r="AK293" s="646">
        <f t="shared" si="351"/>
        <v>0.26821976954951127</v>
      </c>
      <c r="AL293" s="636"/>
      <c r="AM293" s="636"/>
      <c r="AN293" s="637"/>
      <c r="AO293" s="629"/>
      <c r="AP293" s="634"/>
      <c r="AQ293" s="634"/>
    </row>
    <row r="294" spans="1:43" x14ac:dyDescent="0.25">
      <c r="A294" s="252" t="s">
        <v>1516</v>
      </c>
      <c r="B294" s="344"/>
      <c r="C294" s="611"/>
      <c r="D294" s="612"/>
      <c r="E294" s="1083"/>
      <c r="F294" s="613"/>
      <c r="G294" s="611"/>
      <c r="H294" s="220">
        <f>+H295*W294</f>
        <v>1</v>
      </c>
      <c r="I294" s="220">
        <f>+I295*X294</f>
        <v>0.69069916563960898</v>
      </c>
      <c r="J294" s="614"/>
      <c r="K294" s="615"/>
      <c r="L294" s="196"/>
      <c r="M294" s="590"/>
      <c r="N294" s="590"/>
      <c r="O294" s="616"/>
      <c r="P294" s="616"/>
      <c r="Q294" s="616"/>
      <c r="R294" s="617"/>
      <c r="S294" s="616"/>
      <c r="T294" s="618"/>
      <c r="U294" s="202"/>
      <c r="V294" s="220">
        <f>+V295*W295</f>
        <v>0.28816214507012328</v>
      </c>
      <c r="W294" s="220">
        <v>1</v>
      </c>
      <c r="X294" s="619">
        <v>1</v>
      </c>
      <c r="Y294" s="620">
        <v>6628530984</v>
      </c>
      <c r="Z294" s="620">
        <v>6107311808</v>
      </c>
      <c r="AA294" s="620">
        <v>6515110547</v>
      </c>
      <c r="AB294" s="621">
        <f t="shared" ref="AB294" si="386">+AA294/Y294</f>
        <v>0.98288905380788361</v>
      </c>
      <c r="AC294" s="620">
        <v>6500860547</v>
      </c>
      <c r="AD294" s="622">
        <f t="shared" ref="AD294" si="387">+AC294/Y294</f>
        <v>0.98073925620802382</v>
      </c>
      <c r="AE294" s="1518">
        <f>+AA294-AC294</f>
        <v>14250000</v>
      </c>
      <c r="AF294" s="626">
        <f>+AF295</f>
        <v>101991641</v>
      </c>
      <c r="AG294" s="623">
        <f>+AG295</f>
        <v>2218394</v>
      </c>
      <c r="AH294" s="505">
        <f t="shared" ref="AH294" si="388">+AG294/AF294</f>
        <v>2.1750743279049703E-2</v>
      </c>
      <c r="AI294" s="620">
        <f>+AI295</f>
        <v>47060000000</v>
      </c>
      <c r="AJ294" s="620">
        <f>+SUM(Z294:AA294)</f>
        <v>12622422355</v>
      </c>
      <c r="AK294" s="220">
        <f t="shared" ref="AK294" si="389">+AJ294/AI294</f>
        <v>0.26821976954951127</v>
      </c>
      <c r="AL294" s="624"/>
      <c r="AM294" s="625"/>
      <c r="AN294" s="626"/>
      <c r="AO294" s="1518"/>
      <c r="AP294" s="627"/>
      <c r="AQ294" s="627"/>
    </row>
    <row r="295" spans="1:43" s="1100" customFormat="1" ht="26.25" thickBot="1" x14ac:dyDescent="0.3">
      <c r="A295" s="1084" t="s">
        <v>1473</v>
      </c>
      <c r="B295" s="1085" t="s">
        <v>1123</v>
      </c>
      <c r="C295" s="600">
        <v>0.15</v>
      </c>
      <c r="D295" s="598">
        <v>0.2</v>
      </c>
      <c r="E295" s="598">
        <f>7060050000/AI295</f>
        <v>0.15002231194220145</v>
      </c>
      <c r="F295" s="1086">
        <f>+AC295/AI295</f>
        <v>0.1381398331279218</v>
      </c>
      <c r="G295" s="558"/>
      <c r="H295" s="598">
        <f>IF((E295+G295)/C295&gt;=100%,100%,(E295+G295)/C295)</f>
        <v>1</v>
      </c>
      <c r="I295" s="1087">
        <f>IF(F295/D295&gt;=100%,100%,F295/D295)</f>
        <v>0.69069916563960898</v>
      </c>
      <c r="J295" s="604"/>
      <c r="K295" s="1088"/>
      <c r="L295" s="1089"/>
      <c r="M295" s="601"/>
      <c r="N295" s="601"/>
      <c r="O295" s="1090"/>
      <c r="P295" s="1090"/>
      <c r="Q295" s="1090"/>
      <c r="R295" s="1091"/>
      <c r="S295" s="1090"/>
      <c r="T295" s="1092">
        <v>1</v>
      </c>
      <c r="U295" s="598">
        <f>SUM(E295:G295)</f>
        <v>0.28816214507012328</v>
      </c>
      <c r="V295" s="600">
        <f>IF(U295/T295&gt;=100%,100%,U295/T295)</f>
        <v>0.28816214507012328</v>
      </c>
      <c r="W295" s="598">
        <v>1</v>
      </c>
      <c r="X295" s="1093">
        <v>1</v>
      </c>
      <c r="Y295" s="1094">
        <v>6628530984</v>
      </c>
      <c r="Z295" s="1094">
        <v>6107311808</v>
      </c>
      <c r="AA295" s="1094">
        <v>6515110547</v>
      </c>
      <c r="AB295" s="1095">
        <f t="shared" ref="AB295" si="390">+AA295/Y295</f>
        <v>0.98288905380788361</v>
      </c>
      <c r="AC295" s="1094">
        <v>6500860547</v>
      </c>
      <c r="AD295" s="1096">
        <f t="shared" ref="AD295" si="391">+AC295/Y295</f>
        <v>0.98073925620802382</v>
      </c>
      <c r="AE295" s="1085">
        <f>+AA295-AC295</f>
        <v>14250000</v>
      </c>
      <c r="AF295" s="601">
        <v>101991641</v>
      </c>
      <c r="AG295" s="1094">
        <v>2218394</v>
      </c>
      <c r="AH295" s="1097">
        <f t="shared" ref="AH295" si="392">+AG295/AF295</f>
        <v>2.1750743279049703E-2</v>
      </c>
      <c r="AI295" s="1094">
        <v>47060000000</v>
      </c>
      <c r="AJ295" s="1094">
        <f>+SUM(Z295:AA295)</f>
        <v>12622422355</v>
      </c>
      <c r="AK295" s="598">
        <f t="shared" ref="AK295" si="393">+AJ295/AI295</f>
        <v>0.26821976954951127</v>
      </c>
      <c r="AL295" s="1098"/>
      <c r="AM295" s="1089"/>
      <c r="AN295" s="601"/>
      <c r="AO295" s="1085"/>
      <c r="AP295" s="1099"/>
      <c r="AQ295" s="1099"/>
    </row>
    <row r="296" spans="1:43" ht="13.5" thickBot="1" x14ac:dyDescent="0.3">
      <c r="A296" s="1933" t="s">
        <v>35</v>
      </c>
      <c r="B296" s="1934"/>
      <c r="C296" s="1724"/>
      <c r="D296" s="1724"/>
      <c r="E296" s="1725"/>
      <c r="F296" s="1724"/>
      <c r="G296" s="1724"/>
      <c r="H296" s="1726">
        <f>(H8*W8)+(H56*W56)+(H99*W99)+(H146*W146)+(H211*W211)</f>
        <v>0.8531420999999999</v>
      </c>
      <c r="I296" s="1727">
        <f>(I8*X8)+(I56*X56)+(I99*X99)+(I146*X146)+(I211*X211)</f>
        <v>0.7729356687600536</v>
      </c>
      <c r="J296" s="1725"/>
      <c r="K296" s="1724"/>
      <c r="L296" s="1724"/>
      <c r="M296" s="1724"/>
      <c r="N296" s="1724"/>
      <c r="O296" s="1724"/>
      <c r="P296" s="1724"/>
      <c r="Q296" s="1724"/>
      <c r="R296" s="1724"/>
      <c r="S296" s="1728"/>
      <c r="T296" s="1724"/>
      <c r="U296" s="1725"/>
      <c r="V296" s="1726">
        <f>(V8*W8)+(V56*W56)+(V99*W99)+(V146*W146)+(V211*W211)</f>
        <v>0.46687924371102141</v>
      </c>
      <c r="W296" s="1729"/>
      <c r="X296" s="1728"/>
      <c r="Y296" s="1722">
        <f>+Y8+Y56+Y99+Y146+Y211+Y293</f>
        <v>127060888332</v>
      </c>
      <c r="Z296" s="1722">
        <f>+Z8+Z56+Z99+Z146+Z211+Z293</f>
        <v>63560805671.059998</v>
      </c>
      <c r="AA296" s="1722">
        <f>+AA8+AA56+AA99+AA146+AA211+AA293</f>
        <v>95329855301.670013</v>
      </c>
      <c r="AB296" s="643">
        <f>+AA296/Y296</f>
        <v>0.75026907613443317</v>
      </c>
      <c r="AC296" s="1722">
        <f>+AC8+AC56+AC99+AC146+AC211+AC293</f>
        <v>78914531319.630005</v>
      </c>
      <c r="AD296" s="644">
        <f t="shared" si="349"/>
        <v>0.62107649612391036</v>
      </c>
      <c r="AE296" s="1730">
        <f>+AE8+AE56+AE99+AE146+AE211+AE293</f>
        <v>16415323982.040003</v>
      </c>
      <c r="AF296" s="1723">
        <f>+AF8+AF56+AF99+AF146+AF211</f>
        <v>19867333630.959999</v>
      </c>
      <c r="AG296" s="1722">
        <f>+AG8+AG56+AG99+AG146+AG211</f>
        <v>17290076415.439999</v>
      </c>
      <c r="AH296" s="645">
        <f t="shared" si="350"/>
        <v>0.87027664288559758</v>
      </c>
      <c r="AI296" s="1722">
        <f>+AI8+AI56+AI99+AI146+AI211+AI293</f>
        <v>425871745727</v>
      </c>
      <c r="AJ296" s="1722">
        <f>+AJ8+AJ56+AJ99+AJ146+AJ211+AJ293</f>
        <v>158890660972.73001</v>
      </c>
      <c r="AK296" s="1731">
        <f t="shared" si="351"/>
        <v>0.37309509862291962</v>
      </c>
      <c r="AL296" s="637"/>
      <c r="AM296" s="692"/>
      <c r="AN296" s="691"/>
      <c r="AO296" s="695"/>
      <c r="AP296" s="691"/>
      <c r="AQ296" s="700"/>
    </row>
    <row r="297" spans="1:43" ht="51.75" customHeight="1" x14ac:dyDescent="0.25">
      <c r="A297" s="1935" t="s">
        <v>36</v>
      </c>
      <c r="B297" s="1935"/>
      <c r="C297" s="1935"/>
      <c r="D297" s="1935"/>
      <c r="E297" s="1935"/>
      <c r="F297" s="1935"/>
      <c r="G297" s="1935"/>
      <c r="H297" s="1935"/>
      <c r="I297" s="1935"/>
      <c r="J297" s="1935"/>
      <c r="K297" s="1935"/>
      <c r="L297" s="1935"/>
      <c r="M297" s="1935"/>
      <c r="N297" s="1935"/>
      <c r="O297" s="1935"/>
      <c r="P297" s="1935"/>
      <c r="Q297" s="1935"/>
      <c r="R297" s="1935"/>
      <c r="S297" s="1935"/>
      <c r="T297" s="1935"/>
      <c r="U297" s="1935"/>
      <c r="V297" s="1935"/>
      <c r="W297" s="1935"/>
      <c r="X297" s="1935"/>
      <c r="Y297" s="1935"/>
      <c r="Z297" s="1935"/>
      <c r="AA297" s="1935"/>
      <c r="AB297" s="1935"/>
      <c r="AC297" s="1935"/>
      <c r="AD297" s="1935"/>
      <c r="AE297" s="1935"/>
      <c r="AF297" s="1935"/>
      <c r="AG297" s="1935"/>
      <c r="AH297" s="1935"/>
      <c r="AI297" s="1935"/>
      <c r="AJ297" s="1935"/>
      <c r="AK297" s="1935"/>
      <c r="AL297" s="1936"/>
    </row>
    <row r="298" spans="1:43" x14ac:dyDescent="0.25">
      <c r="Y298" s="504"/>
      <c r="AL298" s="100"/>
    </row>
    <row r="299" spans="1:43" ht="23.25" customHeight="1" x14ac:dyDescent="0.25">
      <c r="A299" s="507"/>
      <c r="B299" s="507"/>
      <c r="C299" s="507"/>
      <c r="D299" s="507"/>
      <c r="E299" s="507"/>
      <c r="F299" s="507"/>
      <c r="G299" s="507"/>
      <c r="H299" s="507"/>
      <c r="I299" s="507"/>
      <c r="J299" s="507"/>
      <c r="K299" s="221"/>
      <c r="L299" s="221"/>
      <c r="M299" s="221"/>
      <c r="N299" s="221"/>
      <c r="O299" s="221"/>
      <c r="P299" s="221"/>
      <c r="Q299" s="221"/>
      <c r="R299" s="221"/>
      <c r="S299" s="507"/>
      <c r="T299" s="507"/>
      <c r="U299" s="507"/>
      <c r="V299" s="507"/>
      <c r="W299" s="507"/>
      <c r="X299" s="507"/>
      <c r="Y299" s="507"/>
      <c r="Z299" s="507"/>
      <c r="AA299" s="507"/>
      <c r="AB299" s="507"/>
      <c r="AC299" s="507"/>
      <c r="AD299" s="552"/>
      <c r="AE299" s="508"/>
      <c r="AF299" s="507"/>
      <c r="AG299" s="507"/>
      <c r="AH299" s="507"/>
      <c r="AI299" s="507"/>
      <c r="AJ299" s="507"/>
      <c r="AK299" s="563"/>
    </row>
    <row r="300" spans="1:43" ht="19.5" customHeight="1" x14ac:dyDescent="0.25">
      <c r="A300" s="1937"/>
      <c r="B300" s="1937"/>
      <c r="C300" s="132"/>
      <c r="D300" s="132"/>
      <c r="E300" s="132"/>
      <c r="F300" s="132"/>
      <c r="G300" s="132"/>
      <c r="H300" s="132"/>
      <c r="I300" s="132"/>
      <c r="J300" s="132"/>
      <c r="K300" s="132"/>
      <c r="L300" s="132"/>
      <c r="M300" s="132"/>
      <c r="N300" s="132"/>
      <c r="O300" s="132"/>
      <c r="P300" s="132"/>
      <c r="Q300" s="132"/>
      <c r="R300" s="132"/>
      <c r="S300" s="132"/>
      <c r="T300" s="133"/>
      <c r="U300" s="133"/>
      <c r="V300" s="132"/>
      <c r="W300" s="132"/>
      <c r="X300" s="132"/>
      <c r="Y300" s="1937"/>
      <c r="Z300" s="1937"/>
      <c r="AA300" s="1937"/>
      <c r="AB300" s="1937"/>
      <c r="AC300" s="1937"/>
      <c r="AD300" s="1937"/>
      <c r="AE300" s="1937"/>
      <c r="AF300" s="1937"/>
      <c r="AG300" s="1937"/>
      <c r="AH300" s="1937"/>
      <c r="AI300" s="1937"/>
      <c r="AJ300" s="1937"/>
      <c r="AK300" s="1937"/>
    </row>
    <row r="301" spans="1:43" ht="59.25" customHeight="1" x14ac:dyDescent="0.25">
      <c r="A301" s="1919"/>
      <c r="B301" s="1919"/>
      <c r="C301" s="132"/>
      <c r="D301" s="132"/>
      <c r="E301" s="132"/>
      <c r="F301" s="132"/>
      <c r="G301" s="132"/>
      <c r="H301" s="132"/>
      <c r="I301" s="132"/>
      <c r="J301" s="131"/>
      <c r="K301" s="131"/>
      <c r="L301" s="131"/>
      <c r="M301" s="131"/>
      <c r="N301" s="131"/>
      <c r="O301" s="131"/>
      <c r="P301" s="131"/>
      <c r="Q301" s="131"/>
      <c r="R301" s="131"/>
      <c r="S301" s="131"/>
      <c r="T301" s="133"/>
      <c r="U301" s="133"/>
      <c r="V301" s="132"/>
      <c r="W301" s="131"/>
      <c r="X301" s="131"/>
      <c r="Y301" s="1918"/>
      <c r="Z301" s="1918"/>
      <c r="AA301" s="1918"/>
      <c r="AB301" s="1918"/>
      <c r="AC301" s="1918"/>
      <c r="AD301" s="1918"/>
      <c r="AE301" s="1918"/>
      <c r="AF301" s="1918"/>
      <c r="AG301" s="1918"/>
      <c r="AH301" s="1918"/>
      <c r="AI301" s="1918"/>
      <c r="AJ301" s="1918"/>
      <c r="AK301" s="1918"/>
    </row>
    <row r="302" spans="1:43" ht="42.75" customHeight="1" x14ac:dyDescent="0.25">
      <c r="A302" s="1919"/>
      <c r="B302" s="1919"/>
      <c r="C302" s="132"/>
      <c r="D302" s="132"/>
      <c r="E302" s="132"/>
      <c r="F302" s="132"/>
      <c r="G302" s="132"/>
      <c r="H302" s="132"/>
      <c r="I302" s="132"/>
      <c r="J302" s="131"/>
      <c r="K302" s="131"/>
      <c r="L302" s="131"/>
      <c r="M302" s="131"/>
      <c r="N302" s="131"/>
      <c r="O302" s="131"/>
      <c r="P302" s="131"/>
      <c r="Q302" s="131"/>
      <c r="R302" s="131"/>
      <c r="S302" s="131"/>
      <c r="T302" s="133"/>
      <c r="U302" s="133"/>
      <c r="V302" s="132"/>
      <c r="W302" s="131"/>
      <c r="X302" s="131"/>
      <c r="Y302" s="1918"/>
      <c r="Z302" s="1918"/>
      <c r="AA302" s="1918"/>
      <c r="AB302" s="1918"/>
      <c r="AC302" s="1918"/>
      <c r="AD302" s="1918"/>
      <c r="AE302" s="1918"/>
      <c r="AF302" s="1918"/>
      <c r="AG302" s="1918"/>
      <c r="AH302" s="1918"/>
      <c r="AI302" s="1918"/>
      <c r="AJ302" s="1918"/>
      <c r="AK302" s="1918"/>
    </row>
    <row r="303" spans="1:43" ht="27" customHeight="1" x14ac:dyDescent="0.25">
      <c r="A303" s="1919"/>
      <c r="B303" s="1919"/>
      <c r="C303" s="132"/>
      <c r="D303" s="132"/>
      <c r="E303" s="132"/>
      <c r="F303" s="132"/>
      <c r="G303" s="132"/>
      <c r="H303" s="132"/>
      <c r="I303" s="132"/>
      <c r="J303" s="131"/>
      <c r="K303" s="131"/>
      <c r="L303" s="131"/>
      <c r="M303" s="131"/>
      <c r="N303" s="131"/>
      <c r="O303" s="131"/>
      <c r="P303" s="131"/>
      <c r="Q303" s="131"/>
      <c r="R303" s="131"/>
      <c r="S303" s="131"/>
      <c r="T303" s="133"/>
      <c r="U303" s="133"/>
      <c r="V303" s="132"/>
      <c r="W303" s="131"/>
      <c r="X303" s="131"/>
      <c r="Y303" s="1918"/>
      <c r="Z303" s="1918"/>
      <c r="AA303" s="1918"/>
      <c r="AB303" s="1918"/>
      <c r="AC303" s="1918"/>
      <c r="AD303" s="1918"/>
      <c r="AE303" s="1918"/>
      <c r="AF303" s="1918"/>
      <c r="AG303" s="1918"/>
      <c r="AH303" s="1918"/>
      <c r="AI303" s="1918"/>
      <c r="AJ303" s="1918"/>
      <c r="AK303" s="1918"/>
    </row>
    <row r="304" spans="1:43" ht="40.5" customHeight="1" x14ac:dyDescent="0.25">
      <c r="A304" s="1919"/>
      <c r="B304" s="1919"/>
      <c r="C304" s="132"/>
      <c r="D304" s="132"/>
      <c r="E304" s="132"/>
      <c r="F304" s="132"/>
      <c r="G304" s="132"/>
      <c r="H304" s="132"/>
      <c r="I304" s="132"/>
      <c r="J304" s="131"/>
      <c r="K304" s="131"/>
      <c r="L304" s="131"/>
      <c r="M304" s="131"/>
      <c r="N304" s="131"/>
      <c r="O304" s="131"/>
      <c r="P304" s="131"/>
      <c r="Q304" s="131"/>
      <c r="R304" s="131"/>
      <c r="S304" s="131"/>
      <c r="T304" s="133"/>
      <c r="U304" s="133"/>
      <c r="V304" s="132"/>
      <c r="W304" s="131"/>
      <c r="X304" s="131"/>
      <c r="Y304" s="1918"/>
      <c r="Z304" s="1918"/>
      <c r="AA304" s="1918"/>
      <c r="AB304" s="1918"/>
      <c r="AC304" s="1918"/>
      <c r="AD304" s="1918"/>
      <c r="AE304" s="1918"/>
      <c r="AF304" s="1918"/>
      <c r="AG304" s="1918"/>
      <c r="AH304" s="1918"/>
      <c r="AI304" s="1918"/>
      <c r="AJ304" s="1918"/>
      <c r="AK304" s="1918"/>
    </row>
    <row r="305" spans="1:37" ht="35.25" customHeight="1" x14ac:dyDescent="0.25">
      <c r="A305" s="1919"/>
      <c r="B305" s="1919"/>
      <c r="C305" s="132"/>
      <c r="D305" s="132"/>
      <c r="E305" s="132"/>
      <c r="F305" s="132"/>
      <c r="G305" s="132"/>
      <c r="H305" s="132"/>
      <c r="I305" s="132"/>
      <c r="J305" s="131"/>
      <c r="K305" s="131"/>
      <c r="L305" s="131"/>
      <c r="M305" s="131"/>
      <c r="N305" s="131"/>
      <c r="O305" s="131"/>
      <c r="P305" s="131"/>
      <c r="Q305" s="131"/>
      <c r="R305" s="131"/>
      <c r="S305" s="131"/>
      <c r="T305" s="133"/>
      <c r="U305" s="133"/>
      <c r="V305" s="132"/>
      <c r="W305" s="131"/>
      <c r="X305" s="131"/>
      <c r="Y305" s="1918"/>
      <c r="Z305" s="1918"/>
      <c r="AA305" s="1918"/>
      <c r="AB305" s="1918"/>
      <c r="AC305" s="1918"/>
      <c r="AD305" s="1918"/>
      <c r="AE305" s="1918"/>
      <c r="AF305" s="1918"/>
      <c r="AG305" s="1918"/>
      <c r="AH305" s="1918"/>
      <c r="AI305" s="1918"/>
      <c r="AJ305" s="1918"/>
      <c r="AK305" s="1918"/>
    </row>
    <row r="306" spans="1:37" ht="41.25" customHeight="1" x14ac:dyDescent="0.25">
      <c r="A306" s="1919"/>
      <c r="B306" s="1919"/>
      <c r="C306" s="132"/>
      <c r="D306" s="132"/>
      <c r="E306" s="132"/>
      <c r="F306" s="132"/>
      <c r="G306" s="132"/>
      <c r="H306" s="132"/>
      <c r="I306" s="132"/>
      <c r="J306" s="131"/>
      <c r="K306" s="131"/>
      <c r="L306" s="131"/>
      <c r="M306" s="131"/>
      <c r="N306" s="131"/>
      <c r="O306" s="131"/>
      <c r="P306" s="131"/>
      <c r="Q306" s="131"/>
      <c r="R306" s="131"/>
      <c r="S306" s="131"/>
      <c r="T306" s="133"/>
      <c r="U306" s="133"/>
      <c r="V306" s="132"/>
      <c r="W306" s="131"/>
      <c r="X306" s="131"/>
      <c r="Y306" s="1918"/>
      <c r="Z306" s="1918"/>
      <c r="AA306" s="1918"/>
      <c r="AB306" s="1918"/>
      <c r="AC306" s="1918"/>
      <c r="AD306" s="1918"/>
      <c r="AE306" s="1918"/>
      <c r="AF306" s="1918"/>
      <c r="AG306" s="1918"/>
      <c r="AH306" s="1918"/>
      <c r="AI306" s="1918"/>
      <c r="AJ306" s="1918"/>
      <c r="AK306" s="1918"/>
    </row>
    <row r="307" spans="1:37" ht="39" customHeight="1" x14ac:dyDescent="0.25">
      <c r="A307" s="1919"/>
      <c r="B307" s="1919"/>
      <c r="C307" s="132"/>
      <c r="D307" s="132"/>
      <c r="E307" s="132"/>
      <c r="F307" s="132"/>
      <c r="G307" s="132"/>
      <c r="H307" s="132"/>
      <c r="I307" s="132"/>
      <c r="J307" s="131"/>
      <c r="K307" s="131"/>
      <c r="L307" s="131"/>
      <c r="M307" s="131"/>
      <c r="N307" s="131"/>
      <c r="O307" s="131"/>
      <c r="P307" s="131"/>
      <c r="Q307" s="131"/>
      <c r="R307" s="131"/>
      <c r="S307" s="131"/>
      <c r="T307" s="133"/>
      <c r="U307" s="133"/>
      <c r="V307" s="132"/>
      <c r="W307" s="131"/>
      <c r="X307" s="131"/>
      <c r="Y307" s="1918"/>
      <c r="Z307" s="1918"/>
      <c r="AA307" s="1918"/>
      <c r="AB307" s="1918"/>
      <c r="AC307" s="1918"/>
      <c r="AD307" s="1918"/>
      <c r="AE307" s="1918"/>
      <c r="AF307" s="1918"/>
      <c r="AG307" s="1918"/>
      <c r="AH307" s="1918"/>
      <c r="AI307" s="1918"/>
      <c r="AJ307" s="1918"/>
      <c r="AK307" s="1918"/>
    </row>
    <row r="308" spans="1:37" ht="81" customHeight="1" x14ac:dyDescent="0.25">
      <c r="A308" s="1919"/>
      <c r="B308" s="1919"/>
      <c r="C308" s="132"/>
      <c r="D308" s="132"/>
      <c r="E308" s="132"/>
      <c r="F308" s="132"/>
      <c r="G308" s="132"/>
      <c r="H308" s="132"/>
      <c r="I308" s="132"/>
      <c r="J308" s="131"/>
      <c r="K308" s="131"/>
      <c r="L308" s="131"/>
      <c r="M308" s="131"/>
      <c r="N308" s="131"/>
      <c r="O308" s="131"/>
      <c r="P308" s="131"/>
      <c r="Q308" s="131"/>
      <c r="R308" s="131"/>
      <c r="S308" s="131"/>
      <c r="T308" s="133"/>
      <c r="U308" s="133"/>
      <c r="V308" s="132"/>
      <c r="W308" s="131"/>
      <c r="X308" s="131"/>
      <c r="Y308" s="1918"/>
      <c r="Z308" s="1918"/>
      <c r="AA308" s="1918"/>
      <c r="AB308" s="1918"/>
      <c r="AC308" s="1918"/>
      <c r="AD308" s="1918"/>
      <c r="AE308" s="1918"/>
      <c r="AF308" s="1918"/>
      <c r="AG308" s="1918"/>
      <c r="AH308" s="1918"/>
      <c r="AI308" s="1918"/>
      <c r="AJ308" s="1918"/>
      <c r="AK308" s="1918"/>
    </row>
    <row r="309" spans="1:37" ht="33.75" customHeight="1" x14ac:dyDescent="0.25">
      <c r="A309" s="1919"/>
      <c r="B309" s="1919"/>
      <c r="C309" s="132"/>
      <c r="D309" s="132"/>
      <c r="E309" s="132"/>
      <c r="F309" s="132"/>
      <c r="G309" s="132"/>
      <c r="H309" s="132"/>
      <c r="I309" s="132"/>
      <c r="J309" s="131"/>
      <c r="K309" s="131"/>
      <c r="L309" s="131"/>
      <c r="M309" s="131"/>
      <c r="N309" s="131"/>
      <c r="O309" s="131"/>
      <c r="P309" s="131"/>
      <c r="Q309" s="131"/>
      <c r="R309" s="131"/>
      <c r="S309" s="131"/>
      <c r="T309" s="133"/>
      <c r="U309" s="133"/>
      <c r="V309" s="132"/>
      <c r="W309" s="131"/>
      <c r="X309" s="131"/>
      <c r="Y309" s="1918"/>
      <c r="Z309" s="1918"/>
      <c r="AA309" s="1918"/>
      <c r="AB309" s="1918"/>
      <c r="AC309" s="1918"/>
      <c r="AD309" s="1918"/>
      <c r="AE309" s="1918"/>
      <c r="AF309" s="1918"/>
      <c r="AG309" s="1918"/>
      <c r="AH309" s="1918"/>
      <c r="AI309" s="1918"/>
      <c r="AJ309" s="1918"/>
      <c r="AK309" s="1918"/>
    </row>
    <row r="310" spans="1:37" ht="147.75" customHeight="1" x14ac:dyDescent="0.25">
      <c r="A310" s="1919"/>
      <c r="B310" s="1919"/>
      <c r="C310" s="132"/>
      <c r="D310" s="132"/>
      <c r="E310" s="132"/>
      <c r="F310" s="132"/>
      <c r="G310" s="132"/>
      <c r="H310" s="132"/>
      <c r="I310" s="132"/>
      <c r="J310" s="131"/>
      <c r="K310" s="131"/>
      <c r="L310" s="131"/>
      <c r="M310" s="131"/>
      <c r="N310" s="131"/>
      <c r="O310" s="131"/>
      <c r="P310" s="131"/>
      <c r="Q310" s="131"/>
      <c r="R310" s="131"/>
      <c r="S310" s="131"/>
      <c r="T310" s="133"/>
      <c r="U310" s="133"/>
      <c r="V310" s="132"/>
      <c r="W310" s="131"/>
      <c r="X310" s="131"/>
      <c r="Y310" s="1918"/>
      <c r="Z310" s="1918"/>
      <c r="AA310" s="1918"/>
      <c r="AB310" s="1918"/>
      <c r="AC310" s="1918"/>
      <c r="AD310" s="1918"/>
      <c r="AE310" s="1918"/>
      <c r="AF310" s="1918"/>
      <c r="AG310" s="1918"/>
      <c r="AH310" s="1918"/>
      <c r="AI310" s="1918"/>
      <c r="AJ310" s="1918"/>
      <c r="AK310" s="1918"/>
    </row>
    <row r="311" spans="1:37" ht="36" customHeight="1" x14ac:dyDescent="0.25">
      <c r="A311" s="1919"/>
      <c r="B311" s="1919"/>
      <c r="C311" s="132"/>
      <c r="D311" s="132"/>
      <c r="E311" s="132"/>
      <c r="F311" s="132"/>
      <c r="G311" s="132"/>
      <c r="H311" s="132"/>
      <c r="I311" s="132"/>
      <c r="J311" s="131"/>
      <c r="K311" s="131"/>
      <c r="L311" s="131"/>
      <c r="M311" s="131"/>
      <c r="N311" s="131"/>
      <c r="O311" s="131"/>
      <c r="P311" s="131"/>
      <c r="Q311" s="131"/>
      <c r="R311" s="131"/>
      <c r="S311" s="131"/>
      <c r="T311" s="133"/>
      <c r="U311" s="133"/>
      <c r="V311" s="132"/>
      <c r="W311" s="131"/>
      <c r="X311" s="131"/>
      <c r="Y311" s="1918"/>
      <c r="Z311" s="1918"/>
      <c r="AA311" s="1918"/>
      <c r="AB311" s="1918"/>
      <c r="AC311" s="1918"/>
      <c r="AD311" s="1918"/>
      <c r="AE311" s="1918"/>
      <c r="AF311" s="1918"/>
      <c r="AG311" s="1918"/>
      <c r="AH311" s="1918"/>
      <c r="AI311" s="1918"/>
      <c r="AJ311" s="1918"/>
      <c r="AK311" s="1918"/>
    </row>
    <row r="312" spans="1:37" ht="82.5" customHeight="1" x14ac:dyDescent="0.25">
      <c r="A312" s="1919"/>
      <c r="B312" s="1919"/>
      <c r="C312" s="132"/>
      <c r="D312" s="132"/>
      <c r="E312" s="132"/>
      <c r="F312" s="132"/>
      <c r="G312" s="132"/>
      <c r="H312" s="132"/>
      <c r="I312" s="132"/>
      <c r="J312" s="131"/>
      <c r="K312" s="131"/>
      <c r="L312" s="131"/>
      <c r="M312" s="131"/>
      <c r="N312" s="131"/>
      <c r="O312" s="131"/>
      <c r="P312" s="131"/>
      <c r="Q312" s="131"/>
      <c r="R312" s="131"/>
      <c r="S312" s="131"/>
      <c r="T312" s="133"/>
      <c r="U312" s="133"/>
      <c r="V312" s="132"/>
      <c r="W312" s="131"/>
      <c r="X312" s="131"/>
      <c r="Y312" s="1918"/>
      <c r="Z312" s="1918"/>
      <c r="AA312" s="1918"/>
      <c r="AB312" s="1918"/>
      <c r="AC312" s="1918"/>
      <c r="AD312" s="1918"/>
      <c r="AE312" s="1918"/>
      <c r="AF312" s="1918"/>
      <c r="AG312" s="1918"/>
      <c r="AH312" s="1918"/>
      <c r="AI312" s="1918"/>
      <c r="AJ312" s="1918"/>
      <c r="AK312" s="1918"/>
    </row>
    <row r="313" spans="1:37" ht="22.5" customHeight="1" x14ac:dyDescent="0.25">
      <c r="A313" s="1919"/>
      <c r="B313" s="1936"/>
      <c r="C313" s="1936"/>
      <c r="D313" s="1936"/>
      <c r="E313" s="1936"/>
      <c r="F313" s="1936"/>
      <c r="G313" s="1936"/>
      <c r="H313" s="1936"/>
      <c r="I313" s="1936"/>
      <c r="J313" s="1936"/>
      <c r="K313" s="1936"/>
      <c r="L313" s="1936"/>
      <c r="M313" s="1936"/>
      <c r="N313" s="1936"/>
      <c r="O313" s="1936"/>
      <c r="P313" s="1936"/>
      <c r="Q313" s="1936"/>
      <c r="R313" s="1936"/>
      <c r="S313" s="1936"/>
      <c r="T313" s="1936"/>
      <c r="U313" s="1936"/>
      <c r="V313" s="1936"/>
      <c r="W313" s="1936"/>
      <c r="X313" s="1936"/>
      <c r="Y313" s="1936"/>
      <c r="Z313" s="1936"/>
      <c r="AA313" s="1936"/>
      <c r="AB313" s="1936"/>
      <c r="AC313" s="1936"/>
      <c r="AD313" s="1936"/>
      <c r="AE313" s="1936"/>
      <c r="AF313" s="1936"/>
      <c r="AG313" s="1936"/>
      <c r="AH313" s="1936"/>
      <c r="AI313" s="1936"/>
      <c r="AJ313" s="1936"/>
      <c r="AK313" s="1936"/>
    </row>
  </sheetData>
  <autoFilter ref="A7:AQ298" xr:uid="{00000000-0001-0000-0100-000000000000}"/>
  <mergeCells count="102">
    <mergeCell ref="A312:B312"/>
    <mergeCell ref="Y312:AK312"/>
    <mergeCell ref="A313:AK313"/>
    <mergeCell ref="R6:R7"/>
    <mergeCell ref="K6:K7"/>
    <mergeCell ref="Y6:Y7"/>
    <mergeCell ref="W6:W7"/>
    <mergeCell ref="Y303:AK303"/>
    <mergeCell ref="A304:B304"/>
    <mergeCell ref="Y304:AK304"/>
    <mergeCell ref="A311:B311"/>
    <mergeCell ref="Y311:AK311"/>
    <mergeCell ref="A5:A7"/>
    <mergeCell ref="A310:B310"/>
    <mergeCell ref="Y310:AK310"/>
    <mergeCell ref="L6:L7"/>
    <mergeCell ref="A308:B308"/>
    <mergeCell ref="Y308:AK308"/>
    <mergeCell ref="A309:B309"/>
    <mergeCell ref="Y309:AK309"/>
    <mergeCell ref="A302:B302"/>
    <mergeCell ref="Y302:AK302"/>
    <mergeCell ref="A303:B303"/>
    <mergeCell ref="A305:B305"/>
    <mergeCell ref="B5:X5"/>
    <mergeCell ref="Y5:AK5"/>
    <mergeCell ref="A296:B296"/>
    <mergeCell ref="A297:AL297"/>
    <mergeCell ref="A300:B300"/>
    <mergeCell ref="C6:D6"/>
    <mergeCell ref="E6:F6"/>
    <mergeCell ref="H6:I6"/>
    <mergeCell ref="J6:J7"/>
    <mergeCell ref="S6:S7"/>
    <mergeCell ref="AL5:AL7"/>
    <mergeCell ref="N6:N7"/>
    <mergeCell ref="AH6:AH7"/>
    <mergeCell ref="Y300:AK300"/>
    <mergeCell ref="AG6:AG7"/>
    <mergeCell ref="AK6:AK7"/>
    <mergeCell ref="X6:X7"/>
    <mergeCell ref="AO11:AO12"/>
    <mergeCell ref="AO13:AO15"/>
    <mergeCell ref="AO16:AO18"/>
    <mergeCell ref="Y305:AK305"/>
    <mergeCell ref="A306:B306"/>
    <mergeCell ref="Y306:AK306"/>
    <mergeCell ref="A307:B307"/>
    <mergeCell ref="Y307:AK307"/>
    <mergeCell ref="A301:B301"/>
    <mergeCell ref="Y301:AK301"/>
    <mergeCell ref="AO27:AO30"/>
    <mergeCell ref="AO34:AO35"/>
    <mergeCell ref="AO39:AO40"/>
    <mergeCell ref="AO41:AO43"/>
    <mergeCell ref="AO47:AO48"/>
    <mergeCell ref="AO54:AO55"/>
    <mergeCell ref="AO72:AO73"/>
    <mergeCell ref="AO86:AO87"/>
    <mergeCell ref="AO24:AO25"/>
    <mergeCell ref="AO126:AO127"/>
    <mergeCell ref="AO130:AO131"/>
    <mergeCell ref="AO136:AO139"/>
    <mergeCell ref="AO90:AO91"/>
    <mergeCell ref="AO274:AO276"/>
    <mergeCell ref="AQ5:AQ7"/>
    <mergeCell ref="AP5:AP7"/>
    <mergeCell ref="A1:AO1"/>
    <mergeCell ref="T6:T7"/>
    <mergeCell ref="U6:U7"/>
    <mergeCell ref="V6:V7"/>
    <mergeCell ref="AB6:AB7"/>
    <mergeCell ref="AC6:AC7"/>
    <mergeCell ref="AD6:AD7"/>
    <mergeCell ref="AM5:AM7"/>
    <mergeCell ref="AN5:AN7"/>
    <mergeCell ref="AO5:AO7"/>
    <mergeCell ref="B6:B7"/>
    <mergeCell ref="A2:AO2"/>
    <mergeCell ref="A3:AO3"/>
    <mergeCell ref="AI6:AI7"/>
    <mergeCell ref="AJ6:AJ7"/>
    <mergeCell ref="AF6:AF7"/>
    <mergeCell ref="M6:M7"/>
    <mergeCell ref="O6:O7"/>
    <mergeCell ref="P6:P7"/>
    <mergeCell ref="Q6:Q7"/>
    <mergeCell ref="AE6:AE7"/>
    <mergeCell ref="Z6:AA6"/>
    <mergeCell ref="AO235:AO237"/>
    <mergeCell ref="AO241:AO243"/>
    <mergeCell ref="AO254:AO255"/>
    <mergeCell ref="AO262:AO265"/>
    <mergeCell ref="AO169:AO172"/>
    <mergeCell ref="AO181:AO182"/>
    <mergeCell ref="AO204:AO205"/>
    <mergeCell ref="AO221:AO225"/>
    <mergeCell ref="AO93:AO96"/>
    <mergeCell ref="AO102:AO104"/>
    <mergeCell ref="AO108:AO110"/>
    <mergeCell ref="AO115:AO116"/>
    <mergeCell ref="AO122:AO123"/>
  </mergeCells>
  <phoneticPr fontId="38" type="noConversion"/>
  <printOptions horizontalCentered="1" verticalCentered="1"/>
  <pageMargins left="0" right="0" top="0.98425196850393704" bottom="0.98425196850393704" header="0" footer="0"/>
  <pageSetup scale="21"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2A6FA627-10E2-7743-A2B2-1A2BFE41B84B}">
          <x14:formula1>
            <xm:f>'Anexo2 Protocolo Inf Gestión GD'!$F$15:$I$15</xm:f>
          </x14:formula1>
          <xm:sqref>N59:N63 N133 N145 N11:N22 N24:N25 N34:N36 N38:N44 N149 N72:N73 N81:N91 N93:N96 N247:N249 N119:N120 N46:N55 N210 N220:N226 N214:N217 N231:N233 N152:N156 N241:N244 N235:N238 N136:N139 N166 N184:N189 N204:N207 N252:N256 N258:N259 N262:N265 N267 N269 N272:N277 N280:N281 N228 N283 N288 N285 N65:N70 N98 N122:N124 N126:N131 N142:N143 N159:N160 N162 N164 N169:N175 N177 N179:N182 N192:N199 N201 N27:N32 N75:N79 N101:N117 N290:N295</xm:sqref>
        </x14:dataValidation>
        <x14:dataValidation type="list" allowBlank="1" showInputMessage="1" showErrorMessage="1" xr:uid="{679C128E-85A6-40F0-A4DA-F9081211D3BB}">
          <x14:formula1>
            <xm:f>'Anexo2 Protocolo Inf Gestión GD'!$H$13:$I$13</xm:f>
          </x14:formula1>
          <xm:sqref>L59:L63 L133 L145 L11:L22 L24:L25 L34:L36 L38:L44 L149 L72:L73 L81:L91 L93:L96 L247:L249 L119:L120 L46:L55 L210 L220:L226 L214:L217 L231:L233 L152:L156 L241:L244 L235:L238 L136:L139 L166 L184:L189 L204:L207 L252:L256 L258:L259 L262:L265 L267 L269 L272:L277 L280:L281 L228 L283 L288 L285 L65:L70 L98 L122:L124 L126:L131 L142:L143 L159:L160 L162 L164 L169:L175 L177 L179:L182 L192:L199 L201 L27:L32 L75:L79 L101:L117 L290:L295</xm:sqref>
        </x14:dataValidation>
        <x14:dataValidation type="list" errorStyle="information" allowBlank="1" showInputMessage="1" promptTitle="Acciones de Funcionamiento" prompt="Seleccione de la lista desplegable o escriba la acción que corresponda" xr:uid="{75BD1554-1442-46EF-AEF6-768153559E2A}">
          <x14:formula1>
            <xm:f>'Anexo2 Protocolo Inf Gestión GD'!$H$14:$J$14</xm:f>
          </x14:formula1>
          <xm:sqref>M59:M63 M133 M145 M11:M22 M24:M25 M34:M36 M38:M44 M149 M72:M73 M81:M91 M93:M96 M247:M249 M119:M120 M46:M55 M210 M220:M226 M214:M217 M231:M233 M152:M156 M241:M244 M235:M238 M136:M139 M166 M184:M189 M204:M207 M252:M256 M258:M259 M262:M265 M267 M269 M272:M277 M280:M281 M228 M283 M288 M285 M65:M70 M98 M122:M124 M126:M131 M142:M143 M159:M160 M162 M164 M169:M175 M177 M179:M182 M192:M199 M201 M27:M32 M75:M79 M101:M117 M290:M295</xm:sqref>
        </x14:dataValidation>
        <x14:dataValidation type="list" allowBlank="1" showInputMessage="1" showErrorMessage="1" xr:uid="{00000000-0002-0000-0100-000000000000}">
          <x14:formula1>
            <xm:f>Hoja1!$A$1:$A$10</xm:f>
          </x14:formula1>
          <xm:sqref>AM8:AM295</xm:sqref>
        </x14:dataValidation>
        <x14:dataValidation type="list" allowBlank="1" showInputMessage="1" showErrorMessage="1" xr:uid="{00000000-0002-0000-0100-000001000000}">
          <x14:formula1>
            <xm:f>Hoja1!$B$1:$B$28</xm:f>
          </x14:formula1>
          <xm:sqref>AN8:AN295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28"/>
  <sheetViews>
    <sheetView topLeftCell="A3" workbookViewId="0">
      <selection sqref="A1:XFD1048576"/>
    </sheetView>
  </sheetViews>
  <sheetFormatPr baseColWidth="10" defaultColWidth="11.42578125" defaultRowHeight="12.75" x14ac:dyDescent="0.2"/>
  <cols>
    <col min="1" max="16384" width="11.42578125" style="85"/>
  </cols>
  <sheetData>
    <row r="1" spans="1:2" x14ac:dyDescent="0.2">
      <c r="A1" s="85" t="s">
        <v>293</v>
      </c>
      <c r="B1" s="86" t="s">
        <v>31</v>
      </c>
    </row>
    <row r="2" spans="1:2" x14ac:dyDescent="0.2">
      <c r="A2" s="85" t="s">
        <v>294</v>
      </c>
      <c r="B2" s="86" t="s">
        <v>4</v>
      </c>
    </row>
    <row r="3" spans="1:2" x14ac:dyDescent="0.2">
      <c r="A3" s="85" t="s">
        <v>295</v>
      </c>
      <c r="B3" s="86" t="s">
        <v>5</v>
      </c>
    </row>
    <row r="4" spans="1:2" x14ac:dyDescent="0.2">
      <c r="A4" s="85" t="s">
        <v>296</v>
      </c>
      <c r="B4" s="86" t="s">
        <v>6</v>
      </c>
    </row>
    <row r="5" spans="1:2" x14ac:dyDescent="0.2">
      <c r="A5" s="85" t="s">
        <v>297</v>
      </c>
      <c r="B5" s="86" t="s">
        <v>7</v>
      </c>
    </row>
    <row r="6" spans="1:2" x14ac:dyDescent="0.2">
      <c r="A6" s="85" t="s">
        <v>298</v>
      </c>
      <c r="B6" s="86" t="s">
        <v>8</v>
      </c>
    </row>
    <row r="7" spans="1:2" x14ac:dyDescent="0.2">
      <c r="A7" s="85" t="s">
        <v>299</v>
      </c>
      <c r="B7" s="86" t="s">
        <v>9</v>
      </c>
    </row>
    <row r="8" spans="1:2" x14ac:dyDescent="0.2">
      <c r="A8" s="85" t="s">
        <v>300</v>
      </c>
      <c r="B8" s="86" t="s">
        <v>10</v>
      </c>
    </row>
    <row r="9" spans="1:2" x14ac:dyDescent="0.2">
      <c r="A9" s="85" t="s">
        <v>301</v>
      </c>
      <c r="B9" s="86" t="s">
        <v>11</v>
      </c>
    </row>
    <row r="10" spans="1:2" x14ac:dyDescent="0.2">
      <c r="A10" s="85" t="s">
        <v>302</v>
      </c>
      <c r="B10" s="86" t="s">
        <v>12</v>
      </c>
    </row>
    <row r="11" spans="1:2" x14ac:dyDescent="0.2">
      <c r="B11" s="86" t="s">
        <v>13</v>
      </c>
    </row>
    <row r="12" spans="1:2" x14ac:dyDescent="0.2">
      <c r="B12" s="86" t="s">
        <v>14</v>
      </c>
    </row>
    <row r="13" spans="1:2" x14ac:dyDescent="0.2">
      <c r="B13" s="86" t="s">
        <v>15</v>
      </c>
    </row>
    <row r="14" spans="1:2" x14ac:dyDescent="0.2">
      <c r="B14" s="86" t="s">
        <v>16</v>
      </c>
    </row>
    <row r="15" spans="1:2" x14ac:dyDescent="0.2">
      <c r="B15" s="86" t="s">
        <v>18</v>
      </c>
    </row>
    <row r="16" spans="1:2" x14ac:dyDescent="0.2">
      <c r="B16" s="86" t="s">
        <v>19</v>
      </c>
    </row>
    <row r="17" spans="2:2" x14ac:dyDescent="0.2">
      <c r="B17" s="86" t="s">
        <v>20</v>
      </c>
    </row>
    <row r="18" spans="2:2" x14ac:dyDescent="0.2">
      <c r="B18" s="86" t="s">
        <v>21</v>
      </c>
    </row>
    <row r="19" spans="2:2" x14ac:dyDescent="0.2">
      <c r="B19" s="86" t="s">
        <v>22</v>
      </c>
    </row>
    <row r="20" spans="2:2" x14ac:dyDescent="0.2">
      <c r="B20" s="86" t="s">
        <v>23</v>
      </c>
    </row>
    <row r="21" spans="2:2" x14ac:dyDescent="0.2">
      <c r="B21" s="86" t="s">
        <v>24</v>
      </c>
    </row>
    <row r="22" spans="2:2" x14ac:dyDescent="0.2">
      <c r="B22" s="86" t="s">
        <v>25</v>
      </c>
    </row>
    <row r="23" spans="2:2" x14ac:dyDescent="0.2">
      <c r="B23" s="86" t="s">
        <v>26</v>
      </c>
    </row>
    <row r="24" spans="2:2" x14ac:dyDescent="0.2">
      <c r="B24" s="86" t="s">
        <v>27</v>
      </c>
    </row>
    <row r="25" spans="2:2" x14ac:dyDescent="0.2">
      <c r="B25" s="86" t="s">
        <v>28</v>
      </c>
    </row>
    <row r="26" spans="2:2" x14ac:dyDescent="0.2">
      <c r="B26" s="86" t="s">
        <v>29</v>
      </c>
    </row>
    <row r="27" spans="2:2" x14ac:dyDescent="0.2">
      <c r="B27" s="86" t="s">
        <v>30</v>
      </c>
    </row>
    <row r="28" spans="2:2" x14ac:dyDescent="0.2">
      <c r="B28" s="85" t="s">
        <v>302</v>
      </c>
    </row>
  </sheetData>
  <hyperlinks>
    <hyperlink ref="B1" location="'1POMCAS'!A1" display="Porcentaje de avance en la formulación y/o ajuste de los Planes de Ordenación y Manejo de Cuencas (POMCAS), Planes de Manejo de Acuíferos (PMA) y Planes de Manejo de Microcuencas (PMM)" xr:uid="{00000000-0004-0000-0200-000000000000}"/>
    <hyperlink ref="B2" location="'2PORH'!A1" display="Porcentaje de cuerpos de agua con planes de ordenamiento del recurso hídrico (PORH) adoptados" xr:uid="{00000000-0004-0000-0200-000001000000}"/>
    <hyperlink ref="B3" location="'3PSMV'!_Toc467769470" display="Porcentaje de Planes de Saneamiento y Manejo de Vertimientos (PSMV) con seguimiento" xr:uid="{00000000-0004-0000-0200-000002000000}"/>
    <hyperlink ref="B4" location="'4UsoAguas'!_Toc467769471" display="Porcentaje de cuerpos de agua con reglamentación del uso de las aguas" xr:uid="{00000000-0004-0000-0200-000003000000}"/>
    <hyperlink ref="B5" location="'5PUEAA'!_Toc467769472" display="Porcentaje de Programas de Uso Eficiente y Ahorro del Agua (PUEAA) con seguimiento" xr:uid="{00000000-0004-0000-0200-000004000000}"/>
    <hyperlink ref="B6" location="'6POMCASejec'!_Toc467769473" display="Porcentaje de Planes de Ordenación y Manejo de Cuencas (POMCAS), Planes de Manejo de Acuíferos (PMA) y Planes de Manejo de Microcuencas (PMM) en ejecución" xr:uid="{00000000-0004-0000-0200-000005000000}"/>
    <hyperlink ref="B7" location="'7Clima'!_Toc467769474" display="Porcentaje de entes territoriales asesorados en la incorporación, planificación y ejecución de acciones relacionadas con cambio climático en el marco de los instrumentos de planificación territorial" xr:uid="{00000000-0004-0000-0200-000006000000}"/>
    <hyperlink ref="B8" location="'8Suelo'!_Toc467769475" display="Porcentaje de suelos degradados en recuperación o rehabilitación" xr:uid="{00000000-0004-0000-0200-000007000000}"/>
    <hyperlink ref="B9" location="'9RUNAP'!_Toc467769476" display="Porcentaje de la superficie de áreas protegidas regionales declaradas, homologadas o recategorizadas, inscritas en el RUNAP" xr:uid="{00000000-0004-0000-0200-000008000000}"/>
    <hyperlink ref="B10" location="'10Paramos'!_Toc467769477" display="Porcentaje de páramos delimitados por el MADS, con zonificación y régimen de usos adoptados por la CAR" xr:uid="{00000000-0004-0000-0200-000009000000}"/>
    <hyperlink ref="B11" location="'11Forest'!_Toc467769478" display="Porcentaje de avance en la formulación del Plan de Ordenación Forestal" xr:uid="{00000000-0004-0000-0200-00000A000000}"/>
    <hyperlink ref="B12" location="'12PlanesAP'!_Toc467769479" display="Porcentaje de áreas protegidas con planes de manejo en ejecución" xr:uid="{00000000-0004-0000-0200-00000B000000}"/>
    <hyperlink ref="B13" location="'13Amenaz'!_Toc467769480" display="Porcentaje de especies amenazadas con medidas de conservación y manejo en ejecución" xr:uid="{00000000-0004-0000-0200-00000C000000}"/>
    <hyperlink ref="B14" location="'14Invasor'!_Toc467769481" display="Porcentaje de especies invasoras con medidas de prevención, control y manejo en ejecución" xr:uid="{00000000-0004-0000-0200-00000D000000}"/>
    <hyperlink ref="B15" location="'15Restaura'!_Toc467769482" display="Porcentaje de áreas de ecosistemas en restauración, rehabilitación y reforestación" xr:uid="{00000000-0004-0000-0200-00000E000000}"/>
    <hyperlink ref="B16" location="'16MIZC'!_Toc467769483" display="Implementación de acciones en manejo integrado de zonas costeras" xr:uid="{00000000-0004-0000-0200-00000F000000}"/>
    <hyperlink ref="B17" location="'17PGIRS'!_Toc467769484" display="Porcentaje de Planes de Gestión Integral de Residuos Sólidos (PGIRS) con seguimiento a metas de aprovechamiento" xr:uid="{00000000-0004-0000-0200-000010000000}"/>
    <hyperlink ref="B18" location="'18Sector'!_Toc467769485" display="Porcentaje de sectores con acompañamiento para la reconversión hacia sistemas sostenibles de producción" xr:uid="{00000000-0004-0000-0200-000011000000}"/>
    <hyperlink ref="B19" location="'19GAU'!_Toc467769486" display="Porcentaje de ejecución de acciones en Gestión Ambiental Urbana" xr:uid="{00000000-0004-0000-0200-000012000000}"/>
    <hyperlink ref="B20" location="'20Negoc'!_Toc467769487" display="Implementación del Programa Regional de Negocios Verdes por la autoridad ambiental" xr:uid="{00000000-0004-0000-0200-000013000000}"/>
    <hyperlink ref="B22" location="'22Autor'!_Toc467769489" display="Porcentaje de autorizaciones ambientales con seguimiento" xr:uid="{00000000-0004-0000-0200-000014000000}"/>
    <hyperlink ref="B23" location="'23Sanc'!_Toc467769490" display="Porcentaje de Procesos Sancionatorios Resueltos" xr:uid="{00000000-0004-0000-0200-000015000000}"/>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xr:uid="{00000000-0004-0000-0200-000016000000}"/>
    <hyperlink ref="B25" location="'25Redes'!_Toc467769492" display="Porcentaje de redes y estaciones de monitoreo en operación" xr:uid="{00000000-0004-0000-0200-000017000000}"/>
    <hyperlink ref="B26" location="'26SIAC'!_Toc467769493" display="Porcentaje de actualización y reporte de la información en el SIAC" xr:uid="{00000000-0004-0000-0200-000018000000}"/>
    <hyperlink ref="B27" location="'27Educa'!_Toc467769494" display="Ejecución de Acciones en Educación Ambiental" xr:uid="{00000000-0004-0000-0200-000019000000}"/>
    <hyperlink ref="B21" location="'21TiempoT'!_Toc467769488" display="Tiempo promedio de trámite para la resolución de autorizaciones ambientales otorgadas por la corporación" xr:uid="{00000000-0004-0000-0200-00001A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B075D-7B3F-4AC6-B952-F3BA3E8F1852}">
  <sheetPr>
    <pageSetUpPr fitToPage="1"/>
  </sheetPr>
  <dimension ref="A1:S40"/>
  <sheetViews>
    <sheetView topLeftCell="A34" zoomScale="140" zoomScaleNormal="140" zoomScaleSheetLayoutView="100" workbookViewId="0">
      <selection activeCell="B25" sqref="B25"/>
    </sheetView>
  </sheetViews>
  <sheetFormatPr baseColWidth="10" defaultColWidth="11.42578125" defaultRowHeight="12.75" x14ac:dyDescent="0.25"/>
  <cols>
    <col min="1" max="1" width="47.42578125" style="7" customWidth="1"/>
    <col min="2" max="2" width="84.140625" style="7" customWidth="1"/>
    <col min="3" max="5" width="11.42578125" style="7"/>
    <col min="6" max="6" width="21.42578125" style="7" customWidth="1"/>
    <col min="7" max="7" width="16.7109375" style="7" customWidth="1"/>
    <col min="8" max="8" width="15" style="7" customWidth="1"/>
    <col min="9" max="9" width="21.140625" style="7" customWidth="1"/>
    <col min="10" max="16384" width="11.42578125" style="7"/>
  </cols>
  <sheetData>
    <row r="1" spans="1:19" ht="130.5" customHeight="1" thickBot="1" x14ac:dyDescent="0.3">
      <c r="A1" s="1940"/>
      <c r="B1" s="1940"/>
    </row>
    <row r="2" spans="1:19" ht="27" customHeight="1" thickBot="1" x14ac:dyDescent="0.3">
      <c r="A2" s="1941" t="s">
        <v>37</v>
      </c>
      <c r="B2" s="1942"/>
      <c r="F2" s="99"/>
      <c r="G2" s="99"/>
      <c r="H2" s="99"/>
      <c r="I2" s="99"/>
      <c r="J2" s="99"/>
      <c r="K2" s="99"/>
      <c r="L2" s="99"/>
      <c r="M2" s="99"/>
      <c r="N2" s="99"/>
      <c r="O2" s="99"/>
      <c r="P2" s="99"/>
      <c r="Q2" s="99"/>
      <c r="R2" s="99"/>
      <c r="S2" s="99"/>
    </row>
    <row r="3" spans="1:19" ht="24.75" customHeight="1" thickBot="1" x14ac:dyDescent="0.3">
      <c r="A3" s="1943" t="s">
        <v>38</v>
      </c>
      <c r="B3" s="1944"/>
      <c r="F3" s="99"/>
      <c r="G3" s="99"/>
      <c r="H3" s="99"/>
      <c r="I3" s="99"/>
      <c r="J3" s="99"/>
      <c r="K3" s="99"/>
      <c r="L3" s="99"/>
      <c r="M3" s="99"/>
      <c r="N3" s="99"/>
      <c r="O3" s="99"/>
      <c r="P3" s="99"/>
      <c r="Q3" s="99"/>
      <c r="R3" s="99"/>
      <c r="S3" s="99"/>
    </row>
    <row r="4" spans="1:19" x14ac:dyDescent="0.25">
      <c r="A4" s="8" t="s">
        <v>39</v>
      </c>
      <c r="B4" s="8" t="s">
        <v>40</v>
      </c>
      <c r="F4" s="99"/>
      <c r="G4" s="99"/>
      <c r="H4" s="99"/>
      <c r="I4" s="99"/>
      <c r="J4" s="99"/>
      <c r="K4" s="99"/>
      <c r="L4" s="99"/>
      <c r="M4" s="99"/>
      <c r="N4" s="99"/>
      <c r="O4" s="99"/>
      <c r="P4" s="99"/>
      <c r="Q4" s="99"/>
      <c r="R4" s="99"/>
      <c r="S4" s="99"/>
    </row>
    <row r="5" spans="1:19" ht="36" x14ac:dyDescent="0.25">
      <c r="A5" s="9" t="s">
        <v>368</v>
      </c>
      <c r="B5" s="10" t="s">
        <v>370</v>
      </c>
      <c r="F5" s="99"/>
      <c r="G5" s="99"/>
      <c r="H5" s="99"/>
      <c r="I5" s="99"/>
      <c r="J5" s="99"/>
      <c r="K5" s="99"/>
      <c r="L5" s="99"/>
      <c r="M5" s="99"/>
      <c r="N5" s="99"/>
      <c r="O5" s="99"/>
      <c r="P5" s="99"/>
      <c r="Q5" s="99"/>
      <c r="R5" s="99"/>
      <c r="S5" s="99"/>
    </row>
    <row r="6" spans="1:19" ht="34.5" customHeight="1" x14ac:dyDescent="0.25">
      <c r="A6" s="9" t="s">
        <v>41</v>
      </c>
      <c r="B6" s="10" t="s">
        <v>371</v>
      </c>
      <c r="F6" s="99"/>
      <c r="G6" s="99"/>
      <c r="H6" s="99"/>
      <c r="I6" s="99"/>
      <c r="J6" s="99"/>
      <c r="K6" s="99"/>
      <c r="L6" s="99"/>
      <c r="M6" s="99"/>
      <c r="N6" s="99"/>
      <c r="O6" s="99"/>
      <c r="P6" s="99"/>
      <c r="Q6" s="99"/>
      <c r="R6" s="99"/>
      <c r="S6" s="99"/>
    </row>
    <row r="7" spans="1:19" ht="24" customHeight="1" x14ac:dyDescent="0.25">
      <c r="A7" s="9" t="s">
        <v>42</v>
      </c>
      <c r="B7" s="10" t="s">
        <v>372</v>
      </c>
      <c r="F7" s="99"/>
      <c r="G7" s="99"/>
      <c r="H7" s="99"/>
      <c r="I7" s="99"/>
      <c r="J7" s="99"/>
      <c r="K7" s="99"/>
      <c r="L7" s="99"/>
      <c r="M7" s="99"/>
      <c r="N7" s="99"/>
      <c r="O7" s="99"/>
      <c r="P7" s="99"/>
      <c r="Q7" s="99"/>
      <c r="R7" s="99"/>
      <c r="S7" s="99"/>
    </row>
    <row r="8" spans="1:19" ht="32.25" customHeight="1" x14ac:dyDescent="0.25">
      <c r="A8" s="9" t="s">
        <v>373</v>
      </c>
      <c r="B8" s="10" t="s">
        <v>43</v>
      </c>
      <c r="F8" s="99"/>
      <c r="G8" s="99"/>
      <c r="H8" s="99"/>
      <c r="I8" s="99"/>
      <c r="J8" s="99"/>
      <c r="K8" s="99"/>
      <c r="L8" s="99"/>
      <c r="M8" s="99"/>
      <c r="N8" s="99"/>
      <c r="O8" s="99"/>
      <c r="P8" s="99"/>
      <c r="Q8" s="99"/>
      <c r="R8" s="99"/>
      <c r="S8" s="99"/>
    </row>
    <row r="9" spans="1:19" ht="32.25" customHeight="1" x14ac:dyDescent="0.25">
      <c r="A9" s="9" t="s">
        <v>374</v>
      </c>
      <c r="B9" s="10" t="s">
        <v>375</v>
      </c>
      <c r="F9" s="99"/>
      <c r="G9" s="99"/>
      <c r="H9" s="99"/>
      <c r="I9" s="99"/>
      <c r="J9" s="99"/>
      <c r="K9" s="99"/>
      <c r="L9" s="99"/>
      <c r="M9" s="99"/>
      <c r="N9" s="99"/>
      <c r="O9" s="99"/>
      <c r="P9" s="99"/>
      <c r="Q9" s="99"/>
      <c r="R9" s="99"/>
      <c r="S9" s="99"/>
    </row>
    <row r="10" spans="1:19" ht="49.5" customHeight="1" x14ac:dyDescent="0.25">
      <c r="A10" s="9" t="s">
        <v>44</v>
      </c>
      <c r="B10" s="10" t="s">
        <v>376</v>
      </c>
      <c r="F10" s="99"/>
      <c r="G10" s="99"/>
      <c r="H10" s="99"/>
      <c r="I10" s="99"/>
      <c r="J10" s="99"/>
      <c r="K10" s="99"/>
      <c r="L10" s="99"/>
      <c r="M10" s="99"/>
      <c r="N10" s="99"/>
      <c r="O10" s="99"/>
      <c r="P10" s="99"/>
      <c r="Q10" s="99"/>
      <c r="R10" s="99"/>
      <c r="S10" s="99"/>
    </row>
    <row r="11" spans="1:19" ht="21" customHeight="1" x14ac:dyDescent="0.25">
      <c r="A11" s="9" t="s">
        <v>248</v>
      </c>
      <c r="B11" s="10" t="s">
        <v>377</v>
      </c>
      <c r="F11" s="99"/>
      <c r="G11" s="99"/>
      <c r="H11" s="99"/>
      <c r="I11" s="99"/>
      <c r="J11" s="99"/>
      <c r="K11" s="99"/>
      <c r="L11" s="99"/>
      <c r="M11" s="99"/>
      <c r="N11" s="99"/>
      <c r="O11" s="99"/>
      <c r="P11" s="99"/>
      <c r="Q11" s="99"/>
      <c r="R11" s="99"/>
      <c r="S11" s="99"/>
    </row>
    <row r="12" spans="1:19" ht="21" customHeight="1" x14ac:dyDescent="0.25">
      <c r="A12" s="96" t="s">
        <v>378</v>
      </c>
      <c r="B12" s="10" t="s">
        <v>380</v>
      </c>
      <c r="F12" s="99"/>
      <c r="G12" s="99"/>
      <c r="H12" s="99"/>
      <c r="I12" s="99"/>
      <c r="J12" s="99"/>
      <c r="K12" s="99"/>
      <c r="L12" s="99"/>
      <c r="M12" s="99"/>
      <c r="N12" s="99"/>
      <c r="O12" s="99"/>
      <c r="P12" s="99"/>
      <c r="Q12" s="99"/>
      <c r="R12" s="99"/>
      <c r="S12" s="99"/>
    </row>
    <row r="13" spans="1:19" ht="21" customHeight="1" x14ac:dyDescent="0.25">
      <c r="A13" s="96" t="s">
        <v>344</v>
      </c>
      <c r="B13" s="10" t="s">
        <v>379</v>
      </c>
      <c r="F13" s="99"/>
      <c r="G13" s="99" t="s">
        <v>328</v>
      </c>
      <c r="H13" s="99" t="s">
        <v>341</v>
      </c>
      <c r="I13" s="99" t="s">
        <v>342</v>
      </c>
      <c r="J13" s="99"/>
      <c r="K13" s="99"/>
      <c r="L13" s="99"/>
      <c r="M13" s="99"/>
      <c r="N13" s="99"/>
      <c r="O13" s="99"/>
      <c r="P13" s="99"/>
      <c r="Q13" s="99"/>
      <c r="R13" s="99"/>
      <c r="S13" s="99"/>
    </row>
    <row r="14" spans="1:19" ht="21" customHeight="1" x14ac:dyDescent="0.25">
      <c r="A14" s="96" t="s">
        <v>345</v>
      </c>
      <c r="B14" s="10" t="s">
        <v>413</v>
      </c>
      <c r="F14" s="99"/>
      <c r="G14" s="99" t="s">
        <v>338</v>
      </c>
      <c r="H14" s="99" t="s">
        <v>337</v>
      </c>
      <c r="I14" s="99" t="s">
        <v>339</v>
      </c>
      <c r="J14" s="99" t="s">
        <v>340</v>
      </c>
      <c r="K14" s="99"/>
      <c r="L14" s="99"/>
      <c r="M14" s="99"/>
      <c r="N14" s="99"/>
      <c r="O14" s="99"/>
      <c r="P14" s="99"/>
      <c r="Q14" s="99"/>
      <c r="R14" s="99"/>
      <c r="S14" s="99"/>
    </row>
    <row r="15" spans="1:19" ht="21" customHeight="1" x14ac:dyDescent="0.25">
      <c r="A15" s="96" t="s">
        <v>346</v>
      </c>
      <c r="B15" s="10" t="s">
        <v>381</v>
      </c>
      <c r="E15" s="7" t="s">
        <v>329</v>
      </c>
      <c r="F15" s="99" t="s">
        <v>330</v>
      </c>
      <c r="G15" s="99" t="s">
        <v>331</v>
      </c>
      <c r="H15" s="99" t="s">
        <v>332</v>
      </c>
      <c r="I15" s="99" t="s">
        <v>333</v>
      </c>
      <c r="J15" s="99"/>
      <c r="K15" s="99"/>
      <c r="L15" s="99"/>
      <c r="M15" s="99"/>
      <c r="N15" s="99"/>
      <c r="O15" s="99"/>
      <c r="P15" s="99"/>
      <c r="Q15" s="99"/>
      <c r="R15" s="99"/>
      <c r="S15" s="99"/>
    </row>
    <row r="16" spans="1:19" ht="21" customHeight="1" x14ac:dyDescent="0.25">
      <c r="A16" s="96" t="s">
        <v>347</v>
      </c>
      <c r="B16" s="10" t="s">
        <v>414</v>
      </c>
      <c r="F16" s="99"/>
      <c r="G16" s="99"/>
      <c r="H16" s="99"/>
      <c r="I16" s="99"/>
      <c r="J16" s="99"/>
      <c r="K16" s="99"/>
      <c r="L16" s="99"/>
      <c r="M16" s="99"/>
      <c r="N16" s="99"/>
      <c r="O16" s="99"/>
      <c r="P16" s="99"/>
      <c r="Q16" s="99"/>
      <c r="R16" s="99"/>
      <c r="S16" s="99"/>
    </row>
    <row r="17" spans="1:19" ht="21" customHeight="1" x14ac:dyDescent="0.25">
      <c r="A17" s="96" t="s">
        <v>348</v>
      </c>
      <c r="B17" s="97" t="s">
        <v>382</v>
      </c>
      <c r="F17" s="99"/>
      <c r="G17" s="99"/>
      <c r="H17" s="99"/>
      <c r="I17" s="99"/>
      <c r="J17" s="99"/>
      <c r="K17" s="99"/>
      <c r="L17" s="99"/>
      <c r="M17" s="99"/>
      <c r="N17" s="99"/>
      <c r="O17" s="99"/>
      <c r="P17" s="99"/>
      <c r="Q17" s="99"/>
      <c r="R17" s="99"/>
      <c r="S17" s="99"/>
    </row>
    <row r="18" spans="1:19" ht="21" customHeight="1" x14ac:dyDescent="0.25">
      <c r="A18" s="96" t="s">
        <v>349</v>
      </c>
      <c r="B18" s="10" t="s">
        <v>383</v>
      </c>
      <c r="F18" s="99"/>
      <c r="G18" s="99"/>
      <c r="H18" s="99"/>
      <c r="I18" s="99"/>
      <c r="J18" s="99"/>
      <c r="K18" s="99"/>
      <c r="L18" s="99"/>
      <c r="M18" s="99"/>
      <c r="N18" s="99"/>
      <c r="O18" s="99"/>
      <c r="P18" s="99"/>
      <c r="Q18" s="99"/>
      <c r="R18" s="99"/>
      <c r="S18" s="99"/>
    </row>
    <row r="19" spans="1:19" ht="21" customHeight="1" x14ac:dyDescent="0.25">
      <c r="A19" s="96" t="s">
        <v>350</v>
      </c>
      <c r="B19" s="10" t="s">
        <v>384</v>
      </c>
      <c r="F19" s="99"/>
      <c r="G19" s="99"/>
      <c r="H19" s="99"/>
      <c r="I19" s="99"/>
      <c r="J19" s="99"/>
      <c r="K19" s="99"/>
      <c r="L19" s="99"/>
      <c r="M19" s="99"/>
      <c r="N19" s="99"/>
      <c r="O19" s="99"/>
      <c r="P19" s="99"/>
      <c r="Q19" s="99"/>
      <c r="R19" s="99"/>
      <c r="S19" s="99"/>
    </row>
    <row r="20" spans="1:19" ht="40.5" customHeight="1" x14ac:dyDescent="0.25">
      <c r="A20" s="9" t="s">
        <v>385</v>
      </c>
      <c r="B20" s="10" t="s">
        <v>45</v>
      </c>
    </row>
    <row r="21" spans="1:19" ht="21.75" customHeight="1" x14ac:dyDescent="0.25">
      <c r="A21" s="9" t="s">
        <v>386</v>
      </c>
      <c r="B21" s="10" t="s">
        <v>46</v>
      </c>
    </row>
    <row r="22" spans="1:19" ht="21.75" customHeight="1" x14ac:dyDescent="0.25">
      <c r="A22" s="9" t="s">
        <v>387</v>
      </c>
      <c r="B22" s="10" t="s">
        <v>249</v>
      </c>
    </row>
    <row r="23" spans="1:19" ht="21" customHeight="1" x14ac:dyDescent="0.25">
      <c r="A23" s="9" t="s">
        <v>388</v>
      </c>
      <c r="B23" s="10" t="s">
        <v>891</v>
      </c>
    </row>
    <row r="24" spans="1:19" ht="24.75" customHeight="1" x14ac:dyDescent="0.25">
      <c r="A24" s="9" t="s">
        <v>389</v>
      </c>
      <c r="B24" s="10" t="s">
        <v>390</v>
      </c>
    </row>
    <row r="25" spans="1:19" ht="24.75" customHeight="1" x14ac:dyDescent="0.25">
      <c r="A25" s="9" t="s">
        <v>354</v>
      </c>
      <c r="B25" s="10" t="s">
        <v>391</v>
      </c>
    </row>
    <row r="26" spans="1:19" ht="22.5" customHeight="1" x14ac:dyDescent="0.25">
      <c r="A26" s="9" t="s">
        <v>392</v>
      </c>
      <c r="B26" s="10" t="s">
        <v>47</v>
      </c>
    </row>
    <row r="27" spans="1:19" ht="39" customHeight="1" x14ac:dyDescent="0.25">
      <c r="A27" s="9" t="s">
        <v>393</v>
      </c>
      <c r="B27" s="10" t="s">
        <v>48</v>
      </c>
    </row>
    <row r="28" spans="1:19" ht="22.5" customHeight="1" x14ac:dyDescent="0.25">
      <c r="A28" s="9" t="s">
        <v>394</v>
      </c>
      <c r="B28" s="10" t="s">
        <v>415</v>
      </c>
    </row>
    <row r="29" spans="1:19" ht="21.75" customHeight="1" x14ac:dyDescent="0.25">
      <c r="A29" s="9" t="s">
        <v>357</v>
      </c>
      <c r="B29" s="10" t="s">
        <v>316</v>
      </c>
    </row>
    <row r="30" spans="1:19" ht="25.5" customHeight="1" x14ac:dyDescent="0.25">
      <c r="A30" s="9" t="s">
        <v>395</v>
      </c>
      <c r="B30" s="10" t="s">
        <v>416</v>
      </c>
    </row>
    <row r="31" spans="1:19" ht="25.5" customHeight="1" x14ac:dyDescent="0.25">
      <c r="A31" s="9" t="s">
        <v>396</v>
      </c>
      <c r="B31" s="10" t="s">
        <v>417</v>
      </c>
    </row>
    <row r="32" spans="1:19" ht="25.5" customHeight="1" x14ac:dyDescent="0.25">
      <c r="A32" s="9" t="s">
        <v>397</v>
      </c>
      <c r="B32" s="97" t="s">
        <v>399</v>
      </c>
    </row>
    <row r="33" spans="1:2" ht="25.5" customHeight="1" x14ac:dyDescent="0.25">
      <c r="A33" s="9" t="s">
        <v>398</v>
      </c>
      <c r="B33" s="97" t="s">
        <v>400</v>
      </c>
    </row>
    <row r="34" spans="1:2" ht="21" customHeight="1" x14ac:dyDescent="0.25">
      <c r="A34" s="9" t="s">
        <v>401</v>
      </c>
      <c r="B34" s="10" t="s">
        <v>247</v>
      </c>
    </row>
    <row r="35" spans="1:2" ht="98.25" customHeight="1" x14ac:dyDescent="0.25">
      <c r="A35" s="9" t="s">
        <v>402</v>
      </c>
      <c r="B35" s="10" t="s">
        <v>245</v>
      </c>
    </row>
    <row r="36" spans="1:2" ht="18" x14ac:dyDescent="0.25">
      <c r="A36" s="9" t="s">
        <v>404</v>
      </c>
      <c r="B36" s="10" t="s">
        <v>418</v>
      </c>
    </row>
    <row r="37" spans="1:2" ht="18" x14ac:dyDescent="0.25">
      <c r="A37" s="9" t="s">
        <v>405</v>
      </c>
      <c r="B37" s="10" t="s">
        <v>49</v>
      </c>
    </row>
    <row r="38" spans="1:2" ht="18" x14ac:dyDescent="0.25">
      <c r="A38" s="129" t="s">
        <v>406</v>
      </c>
      <c r="B38" s="130" t="s">
        <v>407</v>
      </c>
    </row>
    <row r="39" spans="1:2" x14ac:dyDescent="0.25">
      <c r="A39" s="129" t="s">
        <v>408</v>
      </c>
      <c r="B39" s="130" t="s">
        <v>409</v>
      </c>
    </row>
    <row r="40" spans="1:2" ht="13.5" thickBot="1" x14ac:dyDescent="0.3">
      <c r="A40" s="11" t="s">
        <v>410</v>
      </c>
      <c r="B40" s="12" t="s">
        <v>411</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7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E4678-5FE3-4E4F-B6AF-FF86274D1FFB}">
  <sheetPr>
    <pageSetUpPr fitToPage="1"/>
  </sheetPr>
  <dimension ref="A1:XES303"/>
  <sheetViews>
    <sheetView topLeftCell="J1" zoomScale="84" zoomScaleNormal="84" zoomScaleSheetLayoutView="100" workbookViewId="0">
      <pane xSplit="2" ySplit="6" topLeftCell="N17" activePane="bottomRight" state="frozen"/>
      <selection activeCell="O17" sqref="O17"/>
      <selection pane="topRight" activeCell="O17" sqref="O17"/>
      <selection pane="bottomLeft" activeCell="O17" sqref="O17"/>
      <selection pane="bottomRight" activeCell="O17" sqref="O17"/>
    </sheetView>
  </sheetViews>
  <sheetFormatPr baseColWidth="10" defaultColWidth="11.42578125" defaultRowHeight="36" customHeight="1" x14ac:dyDescent="0.25"/>
  <cols>
    <col min="1" max="1" width="10" style="89" customWidth="1"/>
    <col min="2" max="2" width="14.7109375" style="89" customWidth="1"/>
    <col min="3" max="3" width="14.140625" style="89" customWidth="1"/>
    <col min="4" max="4" width="16.140625" style="89" customWidth="1"/>
    <col min="5" max="9" width="11.42578125" style="89"/>
    <col min="10" max="10" width="96.140625" style="89" customWidth="1"/>
    <col min="11" max="11" width="23.7109375" style="89" customWidth="1"/>
    <col min="12" max="12" width="20.42578125" style="89" customWidth="1"/>
    <col min="13" max="13" width="17.28515625" style="89" customWidth="1"/>
    <col min="14" max="14" width="25.5703125" style="89" customWidth="1"/>
    <col min="15" max="15" width="25.7109375" style="89" customWidth="1"/>
    <col min="16" max="16" width="22.42578125" style="89" customWidth="1"/>
    <col min="17" max="17" width="20.7109375" style="89" customWidth="1"/>
    <col min="18" max="18" width="21.42578125" style="89" customWidth="1"/>
    <col min="19" max="19" width="19.28515625" style="89" customWidth="1"/>
    <col min="20" max="20" width="22.42578125" style="89" customWidth="1"/>
    <col min="21" max="21" width="14" style="89" customWidth="1"/>
    <col min="22" max="22" width="36.28515625" style="89" customWidth="1"/>
    <col min="23" max="23" width="19.42578125" style="89" hidden="1" customWidth="1"/>
    <col min="24" max="24" width="15.140625" style="89" hidden="1" customWidth="1"/>
    <col min="25" max="25" width="0" style="89" hidden="1" customWidth="1"/>
    <col min="26" max="26" width="11.42578125" style="89"/>
    <col min="27" max="27" width="15.140625" style="89" bestFit="1" customWidth="1"/>
    <col min="28" max="16384" width="11.42578125" style="89"/>
  </cols>
  <sheetData>
    <row r="1" spans="1:27" ht="109.5" customHeight="1" thickBot="1" x14ac:dyDescent="0.3">
      <c r="A1" s="1953"/>
      <c r="B1" s="1954"/>
      <c r="C1" s="1954"/>
      <c r="D1" s="1954"/>
      <c r="E1" s="1954"/>
      <c r="F1" s="1955"/>
      <c r="G1" s="1955"/>
      <c r="H1" s="1955"/>
      <c r="I1" s="1954"/>
      <c r="J1" s="1954"/>
      <c r="K1" s="1954"/>
      <c r="L1" s="1954"/>
      <c r="M1" s="1954"/>
      <c r="N1" s="1954"/>
      <c r="O1" s="1954"/>
      <c r="P1" s="1954"/>
      <c r="Q1" s="1954"/>
      <c r="R1" s="1954"/>
      <c r="S1" s="1954"/>
      <c r="T1" s="1954"/>
      <c r="U1" s="1954"/>
      <c r="V1" s="1956"/>
    </row>
    <row r="2" spans="1:27" ht="26.25" customHeight="1" x14ac:dyDescent="0.25">
      <c r="A2" s="1957" t="s">
        <v>197</v>
      </c>
      <c r="B2" s="1958"/>
      <c r="C2" s="1958"/>
      <c r="D2" s="1958"/>
      <c r="E2" s="1958"/>
      <c r="F2" s="1959"/>
      <c r="G2" s="1959"/>
      <c r="H2" s="1959"/>
      <c r="I2" s="1958"/>
      <c r="J2" s="1958"/>
      <c r="K2" s="1958"/>
      <c r="L2" s="1958"/>
      <c r="M2" s="1958"/>
      <c r="N2" s="1958"/>
      <c r="O2" s="1958"/>
      <c r="P2" s="1958"/>
      <c r="Q2" s="1958"/>
      <c r="R2" s="1958"/>
      <c r="S2" s="1958"/>
      <c r="T2" s="1958"/>
      <c r="U2" s="1958"/>
      <c r="V2" s="1960"/>
    </row>
    <row r="3" spans="1:27" ht="26.25" customHeight="1" x14ac:dyDescent="0.25">
      <c r="A3" s="1961" t="s">
        <v>1133</v>
      </c>
      <c r="B3" s="1962"/>
      <c r="C3" s="1962"/>
      <c r="D3" s="1962"/>
      <c r="E3" s="1962"/>
      <c r="F3" s="1963"/>
      <c r="G3" s="1963"/>
      <c r="H3" s="1963"/>
      <c r="I3" s="1962"/>
      <c r="J3" s="1962"/>
      <c r="K3" s="1962"/>
      <c r="L3" s="1962"/>
      <c r="M3" s="1962"/>
      <c r="N3" s="1962"/>
      <c r="O3" s="1962"/>
      <c r="P3" s="1962"/>
      <c r="Q3" s="1962"/>
      <c r="R3" s="1962"/>
      <c r="S3" s="1962"/>
      <c r="T3" s="1962"/>
      <c r="U3" s="1962"/>
      <c r="V3" s="1964"/>
    </row>
    <row r="4" spans="1:27" ht="26.25" customHeight="1" thickBot="1" x14ac:dyDescent="0.3">
      <c r="A4" s="1965" t="s">
        <v>1134</v>
      </c>
      <c r="B4" s="1966"/>
      <c r="C4" s="1966"/>
      <c r="D4" s="1966"/>
      <c r="E4" s="1966"/>
      <c r="F4" s="1967"/>
      <c r="G4" s="1967"/>
      <c r="H4" s="1967"/>
      <c r="I4" s="1966"/>
      <c r="J4" s="1966"/>
      <c r="K4" s="1966"/>
      <c r="L4" s="1966"/>
      <c r="M4" s="1966"/>
      <c r="N4" s="1966"/>
      <c r="O4" s="1966"/>
      <c r="P4" s="1966"/>
      <c r="Q4" s="1966"/>
      <c r="R4" s="1966"/>
      <c r="S4" s="1966"/>
      <c r="T4" s="1966"/>
      <c r="U4" s="1966"/>
      <c r="V4" s="1968"/>
    </row>
    <row r="5" spans="1:27" ht="36" customHeight="1" thickTop="1" thickBot="1" x14ac:dyDescent="0.3">
      <c r="A5" s="1947" t="s">
        <v>102</v>
      </c>
      <c r="B5" s="1948"/>
      <c r="C5" s="1948"/>
      <c r="D5" s="1948"/>
      <c r="E5" s="1948"/>
      <c r="F5" s="1948"/>
      <c r="G5" s="1948"/>
      <c r="H5" s="1948"/>
      <c r="I5" s="1949"/>
      <c r="J5" s="1950" t="s">
        <v>103</v>
      </c>
      <c r="K5" s="1950" t="s">
        <v>104</v>
      </c>
      <c r="L5" s="1969" t="s">
        <v>105</v>
      </c>
      <c r="M5" s="1969"/>
      <c r="N5" s="1950" t="s">
        <v>106</v>
      </c>
      <c r="O5" s="1970" t="s">
        <v>107</v>
      </c>
      <c r="P5" s="1971"/>
      <c r="Q5" s="1971"/>
      <c r="R5" s="1972"/>
      <c r="S5" s="1973" t="s">
        <v>108</v>
      </c>
      <c r="T5" s="1950" t="s">
        <v>109</v>
      </c>
      <c r="U5" s="1952" t="s">
        <v>110</v>
      </c>
      <c r="V5" s="1950" t="s">
        <v>111</v>
      </c>
      <c r="W5" s="1945" t="s">
        <v>112</v>
      </c>
      <c r="X5" s="1946" t="s">
        <v>113</v>
      </c>
    </row>
    <row r="6" spans="1:27" s="25" customFormat="1" ht="36" customHeight="1" thickTop="1" thickBot="1" x14ac:dyDescent="0.3">
      <c r="A6" s="22" t="s">
        <v>114</v>
      </c>
      <c r="B6" s="22" t="s">
        <v>50</v>
      </c>
      <c r="C6" s="537" t="s">
        <v>115</v>
      </c>
      <c r="D6" s="22" t="s">
        <v>53</v>
      </c>
      <c r="E6" s="22" t="s">
        <v>116</v>
      </c>
      <c r="F6" s="22" t="s">
        <v>117</v>
      </c>
      <c r="G6" s="22" t="s">
        <v>118</v>
      </c>
      <c r="H6" s="22" t="s">
        <v>119</v>
      </c>
      <c r="I6" s="90" t="s">
        <v>120</v>
      </c>
      <c r="J6" s="1951"/>
      <c r="K6" s="1951"/>
      <c r="L6" s="1107" t="s">
        <v>121</v>
      </c>
      <c r="M6" s="23" t="s">
        <v>122</v>
      </c>
      <c r="N6" s="1951"/>
      <c r="O6" s="24" t="s">
        <v>123</v>
      </c>
      <c r="P6" s="1107" t="s">
        <v>124</v>
      </c>
      <c r="Q6" s="24" t="s">
        <v>125</v>
      </c>
      <c r="R6" s="24" t="s">
        <v>126</v>
      </c>
      <c r="S6" s="1974"/>
      <c r="T6" s="1951"/>
      <c r="U6" s="1950"/>
      <c r="V6" s="1951"/>
      <c r="W6" s="1945"/>
      <c r="X6" s="1946"/>
    </row>
    <row r="7" spans="1:27" ht="22.5" customHeight="1" thickTop="1" thickBot="1" x14ac:dyDescent="0.3">
      <c r="A7" s="1109" t="s">
        <v>127</v>
      </c>
      <c r="B7" s="1109"/>
      <c r="C7" s="1109"/>
      <c r="D7" s="1109"/>
      <c r="E7" s="1109"/>
      <c r="F7" s="26"/>
      <c r="G7" s="26"/>
      <c r="H7" s="26"/>
      <c r="I7" s="128"/>
      <c r="J7" s="1110" t="s">
        <v>128</v>
      </c>
      <c r="K7" s="1111">
        <f>+K8+K141</f>
        <v>147483403211</v>
      </c>
      <c r="L7" s="1111">
        <f>+L8+L141</f>
        <v>369639680</v>
      </c>
      <c r="M7" s="1111">
        <f>+M8+M141</f>
        <v>0</v>
      </c>
      <c r="N7" s="1111">
        <f t="shared" ref="N7:N70" si="0">K7+L7-M7</f>
        <v>147853042891</v>
      </c>
      <c r="O7" s="1111">
        <f t="shared" ref="O7:S7" si="1">+O8+O141</f>
        <v>7724484477.5999994</v>
      </c>
      <c r="P7" s="1111">
        <f t="shared" si="1"/>
        <v>127060888332.47739</v>
      </c>
      <c r="Q7" s="1111">
        <f t="shared" si="1"/>
        <v>4734600663.000001</v>
      </c>
      <c r="R7" s="1111">
        <f t="shared" si="1"/>
        <v>8333069417.9225998</v>
      </c>
      <c r="S7" s="1111">
        <f t="shared" si="1"/>
        <v>0</v>
      </c>
      <c r="T7" s="1111">
        <f>+T8+T141</f>
        <v>116529906738.52</v>
      </c>
      <c r="U7" s="1112" t="e">
        <f>T7/S7</f>
        <v>#DIV/0!</v>
      </c>
      <c r="V7" s="1109"/>
      <c r="W7" s="1109" t="s">
        <v>1135</v>
      </c>
      <c r="X7" s="1109" t="s">
        <v>1136</v>
      </c>
      <c r="Y7" s="1113" t="s">
        <v>1136</v>
      </c>
      <c r="AA7" s="1114"/>
    </row>
    <row r="8" spans="1:27" ht="22.5" customHeight="1" thickTop="1" thickBot="1" x14ac:dyDescent="0.3">
      <c r="A8" s="1115">
        <v>1</v>
      </c>
      <c r="B8" s="1116" t="s">
        <v>129</v>
      </c>
      <c r="C8" s="1116"/>
      <c r="D8" s="1116"/>
      <c r="E8" s="1116"/>
      <c r="F8" s="27"/>
      <c r="G8" s="27"/>
      <c r="H8" s="27"/>
      <c r="I8" s="27"/>
      <c r="J8" s="1117" t="s">
        <v>130</v>
      </c>
      <c r="K8" s="1118">
        <f>+K9+K17</f>
        <v>121861260593</v>
      </c>
      <c r="L8" s="1118">
        <f>+L9+L17</f>
        <v>277639680</v>
      </c>
      <c r="M8" s="1118">
        <f>+M9+M17</f>
        <v>0</v>
      </c>
      <c r="N8" s="1118">
        <f t="shared" si="0"/>
        <v>122138900273</v>
      </c>
      <c r="O8" s="1118">
        <f t="shared" ref="O8:T8" si="2">+O9+O17</f>
        <v>7724484477.5999994</v>
      </c>
      <c r="P8" s="1118">
        <f t="shared" si="2"/>
        <v>101346745714.47739</v>
      </c>
      <c r="Q8" s="1118">
        <f t="shared" si="2"/>
        <v>4734600663.000001</v>
      </c>
      <c r="R8" s="1118">
        <f t="shared" si="2"/>
        <v>8333069417.9225998</v>
      </c>
      <c r="S8" s="1118">
        <f t="shared" si="2"/>
        <v>0</v>
      </c>
      <c r="T8" s="1118">
        <f t="shared" si="2"/>
        <v>105086205870.16</v>
      </c>
      <c r="U8" s="1119" t="e">
        <f t="shared" ref="U8:U71" si="3">T8/S8</f>
        <v>#DIV/0!</v>
      </c>
      <c r="V8" s="1115"/>
      <c r="W8" s="1115" t="s">
        <v>1137</v>
      </c>
      <c r="X8" s="1115"/>
      <c r="Y8" s="1113" t="s">
        <v>1136</v>
      </c>
    </row>
    <row r="9" spans="1:27" ht="22.5" customHeight="1" thickTop="1" thickBot="1" x14ac:dyDescent="0.3">
      <c r="A9" s="1120">
        <v>1</v>
      </c>
      <c r="B9" s="1121" t="s">
        <v>129</v>
      </c>
      <c r="C9" s="1121" t="s">
        <v>129</v>
      </c>
      <c r="D9" s="1121"/>
      <c r="E9" s="1121"/>
      <c r="F9" s="1122"/>
      <c r="G9" s="1122"/>
      <c r="H9" s="1122"/>
      <c r="I9" s="1122"/>
      <c r="J9" s="1123" t="s">
        <v>131</v>
      </c>
      <c r="K9" s="1124">
        <f t="shared" ref="K9:T9" si="4">+K10</f>
        <v>0</v>
      </c>
      <c r="L9" s="1124">
        <f>+L10</f>
        <v>0</v>
      </c>
      <c r="M9" s="1124">
        <f>+M10</f>
        <v>0</v>
      </c>
      <c r="N9" s="1124">
        <f t="shared" si="0"/>
        <v>0</v>
      </c>
      <c r="O9" s="1124">
        <f t="shared" si="4"/>
        <v>0</v>
      </c>
      <c r="P9" s="1124">
        <f t="shared" si="4"/>
        <v>0</v>
      </c>
      <c r="Q9" s="1124">
        <f t="shared" si="4"/>
        <v>0</v>
      </c>
      <c r="R9" s="1124">
        <f t="shared" si="4"/>
        <v>0</v>
      </c>
      <c r="S9" s="1124">
        <f t="shared" si="4"/>
        <v>0</v>
      </c>
      <c r="T9" s="1124">
        <f t="shared" si="4"/>
        <v>0</v>
      </c>
      <c r="U9" s="1125" t="e">
        <f t="shared" si="3"/>
        <v>#DIV/0!</v>
      </c>
      <c r="V9" s="1120"/>
      <c r="W9" s="1120" t="s">
        <v>1138</v>
      </c>
      <c r="X9" s="1120" t="s">
        <v>1139</v>
      </c>
      <c r="Y9" s="1113" t="s">
        <v>1136</v>
      </c>
    </row>
    <row r="10" spans="1:27" ht="22.5" customHeight="1" thickTop="1" thickBot="1" x14ac:dyDescent="0.3">
      <c r="A10" s="1126" t="s">
        <v>127</v>
      </c>
      <c r="B10" s="1127" t="s">
        <v>129</v>
      </c>
      <c r="C10" s="1127" t="s">
        <v>129</v>
      </c>
      <c r="D10" s="1127" t="s">
        <v>129</v>
      </c>
      <c r="E10" s="1127"/>
      <c r="F10" s="1128"/>
      <c r="G10" s="1128"/>
      <c r="H10" s="1128"/>
      <c r="I10" s="1128"/>
      <c r="J10" s="1129" t="s">
        <v>132</v>
      </c>
      <c r="K10" s="1130">
        <f>+K11+K14</f>
        <v>0</v>
      </c>
      <c r="L10" s="1130">
        <f>+L11+L14</f>
        <v>0</v>
      </c>
      <c r="M10" s="1130">
        <f>+M11+M14</f>
        <v>0</v>
      </c>
      <c r="N10" s="1130">
        <f t="shared" si="0"/>
        <v>0</v>
      </c>
      <c r="O10" s="1130">
        <f t="shared" ref="O10:T10" si="5">+O11+O14</f>
        <v>0</v>
      </c>
      <c r="P10" s="1130">
        <f t="shared" si="5"/>
        <v>0</v>
      </c>
      <c r="Q10" s="1130">
        <f t="shared" si="5"/>
        <v>0</v>
      </c>
      <c r="R10" s="1130">
        <f t="shared" si="5"/>
        <v>0</v>
      </c>
      <c r="S10" s="1130">
        <f t="shared" si="5"/>
        <v>0</v>
      </c>
      <c r="T10" s="1130">
        <f t="shared" si="5"/>
        <v>0</v>
      </c>
      <c r="U10" s="1131" t="e">
        <f t="shared" si="3"/>
        <v>#DIV/0!</v>
      </c>
      <c r="V10" s="1127"/>
      <c r="W10" s="1126" t="s">
        <v>1140</v>
      </c>
      <c r="X10" s="1126" t="s">
        <v>1141</v>
      </c>
      <c r="Y10" s="1113" t="s">
        <v>1136</v>
      </c>
    </row>
    <row r="11" spans="1:27" s="1" customFormat="1" ht="22.5" customHeight="1" thickTop="1" thickBot="1" x14ac:dyDescent="0.3">
      <c r="A11" s="565" t="s">
        <v>127</v>
      </c>
      <c r="B11" s="565" t="s">
        <v>129</v>
      </c>
      <c r="C11" s="565" t="s">
        <v>129</v>
      </c>
      <c r="D11" s="565" t="s">
        <v>129</v>
      </c>
      <c r="E11" s="565" t="s">
        <v>129</v>
      </c>
      <c r="F11" s="91"/>
      <c r="G11" s="91"/>
      <c r="H11" s="91"/>
      <c r="I11" s="91"/>
      <c r="J11" s="566" t="s">
        <v>133</v>
      </c>
      <c r="K11" s="1132">
        <f>+K12+K13</f>
        <v>0</v>
      </c>
      <c r="L11" s="1132">
        <f>+L12+L13</f>
        <v>0</v>
      </c>
      <c r="M11" s="1132">
        <f>+M12+M13</f>
        <v>0</v>
      </c>
      <c r="N11" s="1132">
        <f t="shared" si="0"/>
        <v>0</v>
      </c>
      <c r="O11" s="1132">
        <f t="shared" ref="O11:T11" si="6">+O12+O13</f>
        <v>0</v>
      </c>
      <c r="P11" s="1132">
        <f t="shared" si="6"/>
        <v>0</v>
      </c>
      <c r="Q11" s="1132">
        <f t="shared" si="6"/>
        <v>0</v>
      </c>
      <c r="R11" s="1132">
        <f t="shared" si="6"/>
        <v>0</v>
      </c>
      <c r="S11" s="1132">
        <f t="shared" si="6"/>
        <v>0</v>
      </c>
      <c r="T11" s="1132">
        <f t="shared" si="6"/>
        <v>0</v>
      </c>
      <c r="U11" s="1133" t="e">
        <f t="shared" si="3"/>
        <v>#DIV/0!</v>
      </c>
      <c r="V11" s="564"/>
      <c r="W11" s="564" t="s">
        <v>1142</v>
      </c>
      <c r="X11" s="564" t="s">
        <v>1143</v>
      </c>
      <c r="Y11" s="1113" t="s">
        <v>1136</v>
      </c>
    </row>
    <row r="12" spans="1:27" ht="22.5" customHeight="1" thickTop="1" thickBot="1" x14ac:dyDescent="0.3">
      <c r="A12" s="91" t="s">
        <v>127</v>
      </c>
      <c r="B12" s="91" t="s">
        <v>129</v>
      </c>
      <c r="C12" s="91" t="s">
        <v>129</v>
      </c>
      <c r="D12" s="91" t="s">
        <v>129</v>
      </c>
      <c r="E12" s="91" t="s">
        <v>129</v>
      </c>
      <c r="F12" s="565" t="s">
        <v>129</v>
      </c>
      <c r="G12" s="91"/>
      <c r="H12" s="91"/>
      <c r="I12" s="91"/>
      <c r="J12" s="88" t="s">
        <v>1144</v>
      </c>
      <c r="K12" s="538"/>
      <c r="L12" s="538"/>
      <c r="M12" s="538"/>
      <c r="N12" s="538">
        <f t="shared" si="0"/>
        <v>0</v>
      </c>
      <c r="O12" s="538"/>
      <c r="P12" s="538"/>
      <c r="Q12" s="538"/>
      <c r="R12" s="538"/>
      <c r="S12" s="538"/>
      <c r="T12" s="538"/>
      <c r="U12" s="1134" t="e">
        <f t="shared" si="3"/>
        <v>#DIV/0!</v>
      </c>
      <c r="V12" s="28"/>
      <c r="W12" s="28"/>
      <c r="X12" s="28"/>
      <c r="Y12" s="1113" t="s">
        <v>1136</v>
      </c>
    </row>
    <row r="13" spans="1:27" ht="22.5" customHeight="1" thickTop="1" thickBot="1" x14ac:dyDescent="0.3">
      <c r="A13" s="91" t="s">
        <v>127</v>
      </c>
      <c r="B13" s="91" t="s">
        <v>129</v>
      </c>
      <c r="C13" s="91" t="s">
        <v>129</v>
      </c>
      <c r="D13" s="91" t="s">
        <v>129</v>
      </c>
      <c r="E13" s="91" t="s">
        <v>129</v>
      </c>
      <c r="F13" s="565" t="s">
        <v>134</v>
      </c>
      <c r="G13" s="91"/>
      <c r="H13" s="91"/>
      <c r="I13" s="91"/>
      <c r="J13" s="88" t="s">
        <v>1145</v>
      </c>
      <c r="K13" s="538"/>
      <c r="L13" s="538"/>
      <c r="M13" s="538"/>
      <c r="N13" s="538">
        <f t="shared" si="0"/>
        <v>0</v>
      </c>
      <c r="O13" s="538"/>
      <c r="P13" s="538"/>
      <c r="Q13" s="538"/>
      <c r="R13" s="538"/>
      <c r="S13" s="538"/>
      <c r="T13" s="538"/>
      <c r="U13" s="1134" t="e">
        <f t="shared" si="3"/>
        <v>#DIV/0!</v>
      </c>
      <c r="V13" s="28"/>
      <c r="W13" s="28"/>
      <c r="X13" s="28"/>
      <c r="Y13" s="1113" t="s">
        <v>1136</v>
      </c>
    </row>
    <row r="14" spans="1:27" s="1" customFormat="1" ht="22.5" customHeight="1" thickTop="1" thickBot="1" x14ac:dyDescent="0.3">
      <c r="A14" s="565" t="s">
        <v>127</v>
      </c>
      <c r="B14" s="565" t="s">
        <v>129</v>
      </c>
      <c r="C14" s="565" t="s">
        <v>129</v>
      </c>
      <c r="D14" s="565" t="s">
        <v>129</v>
      </c>
      <c r="E14" s="565" t="s">
        <v>134</v>
      </c>
      <c r="F14" s="91"/>
      <c r="G14" s="91"/>
      <c r="H14" s="89"/>
      <c r="I14" s="91"/>
      <c r="J14" s="566" t="s">
        <v>1146</v>
      </c>
      <c r="K14" s="567">
        <f>+K15+K16</f>
        <v>0</v>
      </c>
      <c r="L14" s="567">
        <f>+L15+L16</f>
        <v>0</v>
      </c>
      <c r="M14" s="567">
        <f>+M15+M16</f>
        <v>0</v>
      </c>
      <c r="N14" s="567">
        <f t="shared" si="0"/>
        <v>0</v>
      </c>
      <c r="O14" s="567">
        <f t="shared" ref="O14:T14" si="7">+O15+O16</f>
        <v>0</v>
      </c>
      <c r="P14" s="567">
        <f t="shared" si="7"/>
        <v>0</v>
      </c>
      <c r="Q14" s="567">
        <f t="shared" si="7"/>
        <v>0</v>
      </c>
      <c r="R14" s="567">
        <f t="shared" si="7"/>
        <v>0</v>
      </c>
      <c r="S14" s="567">
        <f t="shared" si="7"/>
        <v>0</v>
      </c>
      <c r="T14" s="567">
        <f t="shared" si="7"/>
        <v>0</v>
      </c>
      <c r="U14" s="1135" t="e">
        <f t="shared" si="3"/>
        <v>#DIV/0!</v>
      </c>
      <c r="V14" s="564"/>
      <c r="W14" s="564" t="s">
        <v>1147</v>
      </c>
      <c r="X14" s="564" t="s">
        <v>1148</v>
      </c>
      <c r="Y14" s="1113" t="s">
        <v>1136</v>
      </c>
    </row>
    <row r="15" spans="1:27" ht="22.5" customHeight="1" thickTop="1" thickBot="1" x14ac:dyDescent="0.3">
      <c r="A15" s="91" t="s">
        <v>127</v>
      </c>
      <c r="B15" s="91" t="s">
        <v>129</v>
      </c>
      <c r="C15" s="91" t="s">
        <v>129</v>
      </c>
      <c r="D15" s="91" t="s">
        <v>129</v>
      </c>
      <c r="E15" s="91" t="s">
        <v>134</v>
      </c>
      <c r="F15" s="565" t="s">
        <v>129</v>
      </c>
      <c r="G15" s="91"/>
      <c r="H15" s="91"/>
      <c r="I15" s="91"/>
      <c r="J15" s="88" t="s">
        <v>1149</v>
      </c>
      <c r="K15" s="29"/>
      <c r="L15" s="29"/>
      <c r="M15" s="29"/>
      <c r="N15" s="538">
        <f t="shared" si="0"/>
        <v>0</v>
      </c>
      <c r="O15" s="29"/>
      <c r="P15" s="29"/>
      <c r="Q15" s="29"/>
      <c r="R15" s="29"/>
      <c r="S15" s="538"/>
      <c r="T15" s="29"/>
      <c r="U15" s="92" t="e">
        <f t="shared" si="3"/>
        <v>#DIV/0!</v>
      </c>
      <c r="V15" s="28"/>
      <c r="W15" s="28"/>
      <c r="X15" s="28"/>
      <c r="Y15" s="1113" t="s">
        <v>1136</v>
      </c>
    </row>
    <row r="16" spans="1:27" ht="22.5" customHeight="1" thickTop="1" thickBot="1" x14ac:dyDescent="0.3">
      <c r="A16" s="91" t="s">
        <v>127</v>
      </c>
      <c r="B16" s="91" t="s">
        <v>129</v>
      </c>
      <c r="C16" s="91" t="s">
        <v>129</v>
      </c>
      <c r="D16" s="91" t="s">
        <v>129</v>
      </c>
      <c r="E16" s="91" t="s">
        <v>134</v>
      </c>
      <c r="F16" s="565" t="s">
        <v>134</v>
      </c>
      <c r="G16" s="91"/>
      <c r="H16" s="91"/>
      <c r="I16" s="91"/>
      <c r="J16" s="88" t="s">
        <v>1150</v>
      </c>
      <c r="K16" s="29"/>
      <c r="L16" s="29"/>
      <c r="M16" s="29"/>
      <c r="N16" s="538">
        <f t="shared" si="0"/>
        <v>0</v>
      </c>
      <c r="O16" s="29"/>
      <c r="P16" s="29"/>
      <c r="Q16" s="29"/>
      <c r="R16" s="29"/>
      <c r="S16" s="538"/>
      <c r="T16" s="29"/>
      <c r="U16" s="92" t="e">
        <f t="shared" si="3"/>
        <v>#DIV/0!</v>
      </c>
      <c r="V16" s="28"/>
      <c r="W16" s="28"/>
      <c r="X16" s="28"/>
      <c r="Y16" s="1113" t="s">
        <v>1136</v>
      </c>
    </row>
    <row r="17" spans="1:25" ht="22.5" customHeight="1" thickTop="1" thickBot="1" x14ac:dyDescent="0.3">
      <c r="A17" s="1120" t="s">
        <v>127</v>
      </c>
      <c r="B17" s="1121" t="s">
        <v>129</v>
      </c>
      <c r="C17" s="1121" t="s">
        <v>134</v>
      </c>
      <c r="D17" s="1121"/>
      <c r="E17" s="1121"/>
      <c r="F17" s="1122"/>
      <c r="G17" s="1122"/>
      <c r="H17" s="1122"/>
      <c r="I17" s="1122"/>
      <c r="J17" s="1123" t="s">
        <v>135</v>
      </c>
      <c r="K17" s="1124">
        <f t="shared" ref="K17:S17" si="8">+K18+K33+K76+K84+K110</f>
        <v>121861260593</v>
      </c>
      <c r="L17" s="1124">
        <f>+L18+L33+L76+L84+L110</f>
        <v>277639680</v>
      </c>
      <c r="M17" s="1124">
        <f>+M18+M33+M76+M84+M110</f>
        <v>0</v>
      </c>
      <c r="N17" s="1124">
        <f t="shared" si="0"/>
        <v>122138900273</v>
      </c>
      <c r="O17" s="1124">
        <f t="shared" si="8"/>
        <v>7724484477.5999994</v>
      </c>
      <c r="P17" s="1124">
        <f t="shared" si="8"/>
        <v>101346745714.47739</v>
      </c>
      <c r="Q17" s="1124">
        <f t="shared" si="8"/>
        <v>4734600663.000001</v>
      </c>
      <c r="R17" s="1124">
        <f t="shared" si="8"/>
        <v>8333069417.9225998</v>
      </c>
      <c r="S17" s="1124">
        <f t="shared" si="8"/>
        <v>0</v>
      </c>
      <c r="T17" s="1124">
        <f>+T18+T33+T76+T84+T110</f>
        <v>105086205870.16</v>
      </c>
      <c r="U17" s="1125" t="e">
        <f t="shared" si="3"/>
        <v>#DIV/0!</v>
      </c>
      <c r="V17" s="1120"/>
      <c r="W17" s="1120" t="s">
        <v>1151</v>
      </c>
      <c r="X17" s="1120" t="s">
        <v>1152</v>
      </c>
      <c r="Y17" s="1113" t="s">
        <v>1136</v>
      </c>
    </row>
    <row r="18" spans="1:25" ht="22.5" customHeight="1" thickTop="1" thickBot="1" x14ac:dyDescent="0.3">
      <c r="A18" s="1126" t="s">
        <v>127</v>
      </c>
      <c r="B18" s="1127" t="s">
        <v>129</v>
      </c>
      <c r="C18" s="1127" t="s">
        <v>134</v>
      </c>
      <c r="D18" s="1127" t="s">
        <v>129</v>
      </c>
      <c r="E18" s="1127"/>
      <c r="F18" s="1128"/>
      <c r="G18" s="1128"/>
      <c r="H18" s="1128"/>
      <c r="I18" s="1128"/>
      <c r="J18" s="1129" t="s">
        <v>136</v>
      </c>
      <c r="K18" s="1130">
        <f t="shared" ref="K18:M19" si="9">+K19</f>
        <v>17573939380</v>
      </c>
      <c r="L18" s="1130">
        <f t="shared" si="9"/>
        <v>0</v>
      </c>
      <c r="M18" s="1130">
        <f t="shared" si="9"/>
        <v>0</v>
      </c>
      <c r="N18" s="1130">
        <f t="shared" si="0"/>
        <v>17573939380</v>
      </c>
      <c r="O18" s="1130">
        <f t="shared" ref="O18:T19" si="10">+O19</f>
        <v>1757393938.0000002</v>
      </c>
      <c r="P18" s="1130">
        <f t="shared" si="10"/>
        <v>12301757565.999998</v>
      </c>
      <c r="Q18" s="1130">
        <f t="shared" si="10"/>
        <v>3514787876.0000005</v>
      </c>
      <c r="R18" s="1130">
        <f t="shared" si="10"/>
        <v>0</v>
      </c>
      <c r="S18" s="1130">
        <f>+S19</f>
        <v>0</v>
      </c>
      <c r="T18" s="1130">
        <f t="shared" si="10"/>
        <v>12423788076.150002</v>
      </c>
      <c r="U18" s="1131" t="e">
        <f t="shared" si="3"/>
        <v>#DIV/0!</v>
      </c>
      <c r="V18" s="1127"/>
      <c r="W18" s="1126" t="s">
        <v>1153</v>
      </c>
      <c r="X18" s="1126" t="s">
        <v>1154</v>
      </c>
      <c r="Y18" s="1113" t="s">
        <v>1136</v>
      </c>
    </row>
    <row r="19" spans="1:25" ht="22.5" customHeight="1" thickTop="1" thickBot="1" x14ac:dyDescent="0.3">
      <c r="A19" s="564" t="s">
        <v>127</v>
      </c>
      <c r="B19" s="564" t="s">
        <v>129</v>
      </c>
      <c r="C19" s="565" t="s">
        <v>134</v>
      </c>
      <c r="D19" s="564" t="s">
        <v>129</v>
      </c>
      <c r="E19" s="565" t="s">
        <v>129</v>
      </c>
      <c r="F19" s="91"/>
      <c r="G19" s="91"/>
      <c r="H19" s="91"/>
      <c r="I19" s="91"/>
      <c r="J19" s="566" t="s">
        <v>137</v>
      </c>
      <c r="K19" s="1132">
        <f t="shared" si="9"/>
        <v>17573939380</v>
      </c>
      <c r="L19" s="1132">
        <f t="shared" si="9"/>
        <v>0</v>
      </c>
      <c r="M19" s="1132">
        <f t="shared" si="9"/>
        <v>0</v>
      </c>
      <c r="N19" s="1132">
        <f t="shared" si="0"/>
        <v>17573939380</v>
      </c>
      <c r="O19" s="1132">
        <f t="shared" si="10"/>
        <v>1757393938.0000002</v>
      </c>
      <c r="P19" s="1132">
        <f t="shared" si="10"/>
        <v>12301757565.999998</v>
      </c>
      <c r="Q19" s="1132">
        <f t="shared" si="10"/>
        <v>3514787876.0000005</v>
      </c>
      <c r="R19" s="1132">
        <f t="shared" si="10"/>
        <v>0</v>
      </c>
      <c r="S19" s="1132">
        <f>+S20</f>
        <v>0</v>
      </c>
      <c r="T19" s="1132">
        <f t="shared" si="10"/>
        <v>12423788076.150002</v>
      </c>
      <c r="U19" s="1133" t="e">
        <f t="shared" si="3"/>
        <v>#DIV/0!</v>
      </c>
      <c r="V19" s="28"/>
      <c r="W19" s="28" t="s">
        <v>1155</v>
      </c>
      <c r="X19" s="28" t="s">
        <v>1136</v>
      </c>
      <c r="Y19" s="1113" t="s">
        <v>1136</v>
      </c>
    </row>
    <row r="20" spans="1:25" ht="22.5" customHeight="1" thickTop="1" thickBot="1" x14ac:dyDescent="0.3">
      <c r="A20" s="28" t="s">
        <v>127</v>
      </c>
      <c r="B20" s="28" t="s">
        <v>129</v>
      </c>
      <c r="C20" s="91" t="s">
        <v>134</v>
      </c>
      <c r="D20" s="28" t="s">
        <v>129</v>
      </c>
      <c r="E20" s="28" t="s">
        <v>129</v>
      </c>
      <c r="F20" s="565" t="s">
        <v>129</v>
      </c>
      <c r="G20" s="91"/>
      <c r="H20" s="91"/>
      <c r="I20" s="91"/>
      <c r="J20" s="566" t="s">
        <v>138</v>
      </c>
      <c r="K20" s="1132">
        <f t="shared" ref="K20:T20" si="11">+K21+K24+K27+K30</f>
        <v>17573939380</v>
      </c>
      <c r="L20" s="1132">
        <f>+L21+L24+L27+L30</f>
        <v>0</v>
      </c>
      <c r="M20" s="1132">
        <f>+M21+M24+M27+M30</f>
        <v>0</v>
      </c>
      <c r="N20" s="1132">
        <f t="shared" si="0"/>
        <v>17573939380</v>
      </c>
      <c r="O20" s="1132">
        <f t="shared" si="11"/>
        <v>1757393938.0000002</v>
      </c>
      <c r="P20" s="1132">
        <f t="shared" si="11"/>
        <v>12301757565.999998</v>
      </c>
      <c r="Q20" s="1132">
        <f t="shared" si="11"/>
        <v>3514787876.0000005</v>
      </c>
      <c r="R20" s="1132">
        <f t="shared" si="11"/>
        <v>0</v>
      </c>
      <c r="S20" s="1132">
        <f t="shared" si="11"/>
        <v>0</v>
      </c>
      <c r="T20" s="1132">
        <f t="shared" si="11"/>
        <v>12423788076.150002</v>
      </c>
      <c r="U20" s="1133" t="e">
        <f t="shared" si="3"/>
        <v>#DIV/0!</v>
      </c>
      <c r="V20" s="28"/>
      <c r="W20" s="28" t="s">
        <v>1156</v>
      </c>
      <c r="X20" s="28" t="s">
        <v>1157</v>
      </c>
      <c r="Y20" s="1113" t="s">
        <v>1136</v>
      </c>
    </row>
    <row r="21" spans="1:25" ht="22.5" customHeight="1" thickTop="1" thickBot="1" x14ac:dyDescent="0.3">
      <c r="A21" s="28" t="s">
        <v>127</v>
      </c>
      <c r="B21" s="28" t="s">
        <v>129</v>
      </c>
      <c r="C21" s="91" t="s">
        <v>134</v>
      </c>
      <c r="D21" s="28" t="s">
        <v>129</v>
      </c>
      <c r="E21" s="28" t="s">
        <v>129</v>
      </c>
      <c r="F21" s="28" t="s">
        <v>129</v>
      </c>
      <c r="G21" s="565" t="s">
        <v>129</v>
      </c>
      <c r="H21" s="91"/>
      <c r="I21" s="91"/>
      <c r="J21" s="566" t="s">
        <v>1158</v>
      </c>
      <c r="K21" s="1132">
        <f t="shared" ref="K21:T21" si="12">SUM(K22:K23)</f>
        <v>0</v>
      </c>
      <c r="L21" s="1132">
        <f>SUM(L22:L23)</f>
        <v>0</v>
      </c>
      <c r="M21" s="1132">
        <f>SUM(M22:M23)</f>
        <v>0</v>
      </c>
      <c r="N21" s="1132">
        <f t="shared" si="0"/>
        <v>0</v>
      </c>
      <c r="O21" s="1132">
        <f t="shared" si="12"/>
        <v>0</v>
      </c>
      <c r="P21" s="1132">
        <f t="shared" si="12"/>
        <v>0</v>
      </c>
      <c r="Q21" s="1132">
        <f t="shared" si="12"/>
        <v>0</v>
      </c>
      <c r="R21" s="1132">
        <f t="shared" si="12"/>
        <v>0</v>
      </c>
      <c r="S21" s="1132">
        <f>SUM(S22:S23)</f>
        <v>0</v>
      </c>
      <c r="T21" s="1132">
        <f t="shared" si="12"/>
        <v>0</v>
      </c>
      <c r="U21" s="1133" t="e">
        <f t="shared" si="3"/>
        <v>#DIV/0!</v>
      </c>
      <c r="V21" s="28"/>
      <c r="W21" s="28"/>
      <c r="X21" s="28"/>
      <c r="Y21" s="1113" t="s">
        <v>1136</v>
      </c>
    </row>
    <row r="22" spans="1:25" ht="22.5" customHeight="1" thickTop="1" thickBot="1" x14ac:dyDescent="0.3">
      <c r="A22" s="28" t="s">
        <v>127</v>
      </c>
      <c r="B22" s="28" t="s">
        <v>129</v>
      </c>
      <c r="C22" s="91" t="s">
        <v>134</v>
      </c>
      <c r="D22" s="28" t="s">
        <v>129</v>
      </c>
      <c r="E22" s="28" t="s">
        <v>129</v>
      </c>
      <c r="F22" s="28" t="s">
        <v>129</v>
      </c>
      <c r="G22" s="28" t="s">
        <v>129</v>
      </c>
      <c r="H22" s="28" t="s">
        <v>129</v>
      </c>
      <c r="I22" s="91"/>
      <c r="J22" s="88" t="s">
        <v>1159</v>
      </c>
      <c r="K22" s="538"/>
      <c r="L22" s="538"/>
      <c r="M22" s="538"/>
      <c r="N22" s="538">
        <f t="shared" si="0"/>
        <v>0</v>
      </c>
      <c r="O22" s="538"/>
      <c r="P22" s="538"/>
      <c r="Q22" s="538"/>
      <c r="R22" s="538"/>
      <c r="S22" s="538"/>
      <c r="T22" s="538"/>
      <c r="U22" s="1134" t="e">
        <f t="shared" si="3"/>
        <v>#DIV/0!</v>
      </c>
      <c r="V22" s="28"/>
      <c r="W22" s="28"/>
      <c r="X22" s="28"/>
      <c r="Y22" s="1113" t="s">
        <v>1136</v>
      </c>
    </row>
    <row r="23" spans="1:25" ht="22.5" customHeight="1" thickTop="1" thickBot="1" x14ac:dyDescent="0.3">
      <c r="A23" s="28" t="s">
        <v>127</v>
      </c>
      <c r="B23" s="28" t="s">
        <v>129</v>
      </c>
      <c r="C23" s="91" t="s">
        <v>134</v>
      </c>
      <c r="D23" s="28" t="s">
        <v>129</v>
      </c>
      <c r="E23" s="28" t="s">
        <v>129</v>
      </c>
      <c r="F23" s="28" t="s">
        <v>129</v>
      </c>
      <c r="G23" s="28" t="s">
        <v>129</v>
      </c>
      <c r="H23" s="91" t="s">
        <v>134</v>
      </c>
      <c r="I23" s="91"/>
      <c r="J23" s="88" t="s">
        <v>1160</v>
      </c>
      <c r="K23" s="538"/>
      <c r="L23" s="538"/>
      <c r="M23" s="538"/>
      <c r="N23" s="538">
        <f t="shared" si="0"/>
        <v>0</v>
      </c>
      <c r="O23" s="538"/>
      <c r="P23" s="538"/>
      <c r="Q23" s="538"/>
      <c r="R23" s="538"/>
      <c r="S23" s="538"/>
      <c r="T23" s="538"/>
      <c r="U23" s="1134" t="e">
        <f t="shared" si="3"/>
        <v>#DIV/0!</v>
      </c>
      <c r="V23" s="28"/>
      <c r="W23" s="28"/>
      <c r="X23" s="28"/>
      <c r="Y23" s="1113" t="s">
        <v>1136</v>
      </c>
    </row>
    <row r="24" spans="1:25" ht="22.5" customHeight="1" thickTop="1" thickBot="1" x14ac:dyDescent="0.3">
      <c r="A24" s="28" t="s">
        <v>127</v>
      </c>
      <c r="B24" s="28" t="s">
        <v>129</v>
      </c>
      <c r="C24" s="91" t="s">
        <v>134</v>
      </c>
      <c r="D24" s="28" t="s">
        <v>129</v>
      </c>
      <c r="E24" s="28" t="s">
        <v>129</v>
      </c>
      <c r="F24" s="28" t="s">
        <v>129</v>
      </c>
      <c r="G24" s="565" t="s">
        <v>134</v>
      </c>
      <c r="H24" s="91"/>
      <c r="I24" s="91"/>
      <c r="J24" s="566" t="s">
        <v>1161</v>
      </c>
      <c r="K24" s="1132">
        <f t="shared" ref="K24:T24" si="13">SUM(K25:K26)</f>
        <v>17461457917</v>
      </c>
      <c r="L24" s="1132">
        <f>SUM(L25:L26)</f>
        <v>0</v>
      </c>
      <c r="M24" s="1132">
        <f>SUM(M25:M26)</f>
        <v>0</v>
      </c>
      <c r="N24" s="1132">
        <f t="shared" si="0"/>
        <v>17461457917</v>
      </c>
      <c r="O24" s="1132">
        <f t="shared" si="13"/>
        <v>1746145791.7000003</v>
      </c>
      <c r="P24" s="1132">
        <f t="shared" si="13"/>
        <v>12223020541.899998</v>
      </c>
      <c r="Q24" s="1132">
        <f t="shared" si="13"/>
        <v>3492291583.4000006</v>
      </c>
      <c r="R24" s="1132">
        <f t="shared" si="13"/>
        <v>0</v>
      </c>
      <c r="S24" s="1132">
        <f t="shared" si="13"/>
        <v>0</v>
      </c>
      <c r="T24" s="1132">
        <f t="shared" si="13"/>
        <v>12320420516.150002</v>
      </c>
      <c r="U24" s="1133" t="e">
        <f t="shared" si="3"/>
        <v>#DIV/0!</v>
      </c>
      <c r="V24" s="28"/>
      <c r="W24" s="28"/>
      <c r="X24" s="28"/>
      <c r="Y24" s="1113" t="s">
        <v>1136</v>
      </c>
    </row>
    <row r="25" spans="1:25" ht="22.5" customHeight="1" thickTop="1" thickBot="1" x14ac:dyDescent="0.3">
      <c r="A25" s="28" t="s">
        <v>127</v>
      </c>
      <c r="B25" s="28" t="s">
        <v>129</v>
      </c>
      <c r="C25" s="91" t="s">
        <v>134</v>
      </c>
      <c r="D25" s="28" t="s">
        <v>129</v>
      </c>
      <c r="E25" s="28" t="s">
        <v>129</v>
      </c>
      <c r="F25" s="28" t="s">
        <v>129</v>
      </c>
      <c r="G25" s="91" t="s">
        <v>134</v>
      </c>
      <c r="H25" s="91" t="s">
        <v>129</v>
      </c>
      <c r="I25" s="91"/>
      <c r="J25" s="88" t="s">
        <v>1162</v>
      </c>
      <c r="K25" s="538">
        <v>16232235028</v>
      </c>
      <c r="L25" s="538"/>
      <c r="M25" s="538"/>
      <c r="N25" s="29">
        <f t="shared" si="0"/>
        <v>16232235028</v>
      </c>
      <c r="O25" s="29">
        <f>+N25*0.1</f>
        <v>1623223502.8000002</v>
      </c>
      <c r="P25" s="29">
        <f>+N25*0.7</f>
        <v>11362564519.599998</v>
      </c>
      <c r="Q25" s="538">
        <f>+N25*0.2</f>
        <v>3246447005.6000004</v>
      </c>
      <c r="R25" s="538"/>
      <c r="S25" s="538"/>
      <c r="T25" s="538">
        <v>11344657468.360001</v>
      </c>
      <c r="U25" s="1134" t="e">
        <f t="shared" si="3"/>
        <v>#DIV/0!</v>
      </c>
      <c r="V25" s="28"/>
      <c r="W25" s="28"/>
      <c r="X25" s="28"/>
      <c r="Y25" s="1113" t="s">
        <v>1136</v>
      </c>
    </row>
    <row r="26" spans="1:25" ht="22.5" customHeight="1" thickTop="1" thickBot="1" x14ac:dyDescent="0.3">
      <c r="A26" s="28" t="s">
        <v>127</v>
      </c>
      <c r="B26" s="28" t="s">
        <v>129</v>
      </c>
      <c r="C26" s="91" t="s">
        <v>134</v>
      </c>
      <c r="D26" s="28" t="s">
        <v>129</v>
      </c>
      <c r="E26" s="28" t="s">
        <v>129</v>
      </c>
      <c r="F26" s="28" t="s">
        <v>129</v>
      </c>
      <c r="G26" s="91" t="s">
        <v>134</v>
      </c>
      <c r="H26" s="91" t="s">
        <v>134</v>
      </c>
      <c r="I26" s="91"/>
      <c r="J26" s="88" t="s">
        <v>1163</v>
      </c>
      <c r="K26" s="538">
        <v>1229222889</v>
      </c>
      <c r="L26" s="538"/>
      <c r="M26" s="538"/>
      <c r="N26" s="29">
        <f t="shared" si="0"/>
        <v>1229222889</v>
      </c>
      <c r="O26" s="29">
        <f>+N26*0.1</f>
        <v>122922288.90000001</v>
      </c>
      <c r="P26" s="29">
        <f>+N26*0.7</f>
        <v>860456022.29999995</v>
      </c>
      <c r="Q26" s="538">
        <f>+N26*0.2</f>
        <v>245844577.80000001</v>
      </c>
      <c r="R26" s="538"/>
      <c r="S26" s="538"/>
      <c r="T26" s="538">
        <v>975763047.78999996</v>
      </c>
      <c r="U26" s="1134" t="e">
        <f t="shared" si="3"/>
        <v>#DIV/0!</v>
      </c>
      <c r="V26" s="28"/>
      <c r="W26" s="28"/>
      <c r="X26" s="28"/>
      <c r="Y26" s="1113" t="s">
        <v>1136</v>
      </c>
    </row>
    <row r="27" spans="1:25" ht="22.5" customHeight="1" thickTop="1" thickBot="1" x14ac:dyDescent="0.3">
      <c r="A27" s="28" t="s">
        <v>127</v>
      </c>
      <c r="B27" s="28" t="s">
        <v>129</v>
      </c>
      <c r="C27" s="91" t="s">
        <v>134</v>
      </c>
      <c r="D27" s="28" t="s">
        <v>129</v>
      </c>
      <c r="E27" s="28" t="s">
        <v>129</v>
      </c>
      <c r="F27" s="28" t="s">
        <v>129</v>
      </c>
      <c r="G27" s="565" t="s">
        <v>139</v>
      </c>
      <c r="H27" s="91"/>
      <c r="I27" s="91"/>
      <c r="J27" s="566" t="s">
        <v>1164</v>
      </c>
      <c r="K27" s="1132">
        <f t="shared" ref="K27:T27" si="14">SUM(K28:K29)</f>
        <v>112481463</v>
      </c>
      <c r="L27" s="1132">
        <f>SUM(L28:L29)</f>
        <v>0</v>
      </c>
      <c r="M27" s="1132">
        <f>SUM(M28:M29)</f>
        <v>0</v>
      </c>
      <c r="N27" s="1132">
        <f t="shared" si="0"/>
        <v>112481463</v>
      </c>
      <c r="O27" s="1132">
        <f t="shared" si="14"/>
        <v>11248146.300000001</v>
      </c>
      <c r="P27" s="1132">
        <f t="shared" si="14"/>
        <v>78737024.099999994</v>
      </c>
      <c r="Q27" s="1132">
        <f t="shared" si="14"/>
        <v>22496292.600000001</v>
      </c>
      <c r="R27" s="1132">
        <f t="shared" si="14"/>
        <v>0</v>
      </c>
      <c r="S27" s="1132">
        <f t="shared" si="14"/>
        <v>0</v>
      </c>
      <c r="T27" s="1132">
        <f t="shared" si="14"/>
        <v>103367560</v>
      </c>
      <c r="U27" s="1133" t="e">
        <f t="shared" si="3"/>
        <v>#DIV/0!</v>
      </c>
      <c r="V27" s="28"/>
      <c r="W27" s="28"/>
      <c r="X27" s="28"/>
      <c r="Y27" s="1113" t="s">
        <v>1136</v>
      </c>
    </row>
    <row r="28" spans="1:25" ht="22.5" customHeight="1" thickTop="1" thickBot="1" x14ac:dyDescent="0.3">
      <c r="A28" s="28" t="s">
        <v>127</v>
      </c>
      <c r="B28" s="28" t="s">
        <v>129</v>
      </c>
      <c r="C28" s="91" t="s">
        <v>134</v>
      </c>
      <c r="D28" s="28" t="s">
        <v>129</v>
      </c>
      <c r="E28" s="28" t="s">
        <v>129</v>
      </c>
      <c r="F28" s="28" t="s">
        <v>129</v>
      </c>
      <c r="G28" s="91" t="s">
        <v>139</v>
      </c>
      <c r="H28" s="91" t="s">
        <v>129</v>
      </c>
      <c r="I28" s="91"/>
      <c r="J28" s="88" t="s">
        <v>1165</v>
      </c>
      <c r="K28" s="538">
        <v>104563179</v>
      </c>
      <c r="L28" s="538"/>
      <c r="M28" s="538"/>
      <c r="N28" s="29">
        <f t="shared" si="0"/>
        <v>104563179</v>
      </c>
      <c r="O28" s="29">
        <f>+N28*0.1</f>
        <v>10456317.9</v>
      </c>
      <c r="P28" s="29">
        <f>+N28*0.7</f>
        <v>73194225.299999997</v>
      </c>
      <c r="Q28" s="538">
        <f>+N28*0.2</f>
        <v>20912635.800000001</v>
      </c>
      <c r="R28" s="538"/>
      <c r="S28" s="538"/>
      <c r="T28" s="538">
        <v>76536010</v>
      </c>
      <c r="U28" s="1134" t="e">
        <f t="shared" si="3"/>
        <v>#DIV/0!</v>
      </c>
      <c r="V28" s="28"/>
      <c r="W28" s="28"/>
      <c r="X28" s="28"/>
      <c r="Y28" s="1113" t="s">
        <v>1136</v>
      </c>
    </row>
    <row r="29" spans="1:25" ht="22.5" customHeight="1" thickTop="1" thickBot="1" x14ac:dyDescent="0.3">
      <c r="A29" s="28" t="s">
        <v>127</v>
      </c>
      <c r="B29" s="28" t="s">
        <v>129</v>
      </c>
      <c r="C29" s="91" t="s">
        <v>134</v>
      </c>
      <c r="D29" s="28" t="s">
        <v>129</v>
      </c>
      <c r="E29" s="28" t="s">
        <v>129</v>
      </c>
      <c r="F29" s="28" t="s">
        <v>129</v>
      </c>
      <c r="G29" s="91" t="s">
        <v>139</v>
      </c>
      <c r="H29" s="91" t="s">
        <v>134</v>
      </c>
      <c r="I29" s="91"/>
      <c r="J29" s="88" t="s">
        <v>1166</v>
      </c>
      <c r="K29" s="538">
        <v>7918284</v>
      </c>
      <c r="L29" s="538"/>
      <c r="M29" s="538"/>
      <c r="N29" s="29">
        <f t="shared" si="0"/>
        <v>7918284</v>
      </c>
      <c r="O29" s="29">
        <f>+N29*0.1</f>
        <v>791828.4</v>
      </c>
      <c r="P29" s="29">
        <f>+N29*0.7</f>
        <v>5542798.7999999998</v>
      </c>
      <c r="Q29" s="538">
        <f>+N29*0.2</f>
        <v>1583656.8</v>
      </c>
      <c r="R29" s="538"/>
      <c r="S29" s="538"/>
      <c r="T29" s="538">
        <v>26831550</v>
      </c>
      <c r="U29" s="1134" t="e">
        <f t="shared" si="3"/>
        <v>#DIV/0!</v>
      </c>
      <c r="V29" s="28"/>
      <c r="W29" s="28"/>
      <c r="X29" s="28"/>
      <c r="Y29" s="1113" t="s">
        <v>1136</v>
      </c>
    </row>
    <row r="30" spans="1:25" ht="22.5" customHeight="1" thickTop="1" thickBot="1" x14ac:dyDescent="0.3">
      <c r="A30" s="28" t="s">
        <v>127</v>
      </c>
      <c r="B30" s="28" t="s">
        <v>129</v>
      </c>
      <c r="C30" s="91" t="s">
        <v>134</v>
      </c>
      <c r="D30" s="28" t="s">
        <v>129</v>
      </c>
      <c r="E30" s="28" t="s">
        <v>129</v>
      </c>
      <c r="F30" s="28" t="s">
        <v>129</v>
      </c>
      <c r="G30" s="565" t="s">
        <v>140</v>
      </c>
      <c r="H30" s="91"/>
      <c r="I30" s="91"/>
      <c r="J30" s="566" t="s">
        <v>1167</v>
      </c>
      <c r="K30" s="567">
        <f t="shared" ref="K30:T30" si="15">SUM(K31:K32)</f>
        <v>0</v>
      </c>
      <c r="L30" s="567">
        <f>SUM(L31:L32)</f>
        <v>0</v>
      </c>
      <c r="M30" s="567">
        <f>SUM(M31:M32)</f>
        <v>0</v>
      </c>
      <c r="N30" s="567">
        <f t="shared" si="0"/>
        <v>0</v>
      </c>
      <c r="O30" s="567">
        <f t="shared" si="15"/>
        <v>0</v>
      </c>
      <c r="P30" s="567">
        <f t="shared" si="15"/>
        <v>0</v>
      </c>
      <c r="Q30" s="567">
        <f t="shared" si="15"/>
        <v>0</v>
      </c>
      <c r="R30" s="567">
        <f t="shared" si="15"/>
        <v>0</v>
      </c>
      <c r="S30" s="567">
        <f t="shared" si="15"/>
        <v>0</v>
      </c>
      <c r="T30" s="567">
        <f t="shared" si="15"/>
        <v>0</v>
      </c>
      <c r="U30" s="1135" t="e">
        <f t="shared" si="3"/>
        <v>#DIV/0!</v>
      </c>
      <c r="V30" s="28"/>
      <c r="W30" s="28"/>
      <c r="X30" s="28"/>
      <c r="Y30" s="1113" t="s">
        <v>1136</v>
      </c>
    </row>
    <row r="31" spans="1:25" ht="22.5" customHeight="1" thickTop="1" thickBot="1" x14ac:dyDescent="0.3">
      <c r="A31" s="28" t="s">
        <v>127</v>
      </c>
      <c r="B31" s="28" t="s">
        <v>129</v>
      </c>
      <c r="C31" s="91" t="s">
        <v>134</v>
      </c>
      <c r="D31" s="28" t="s">
        <v>129</v>
      </c>
      <c r="E31" s="28" t="s">
        <v>129</v>
      </c>
      <c r="F31" s="28" t="s">
        <v>129</v>
      </c>
      <c r="G31" s="91" t="s">
        <v>140</v>
      </c>
      <c r="H31" s="91" t="s">
        <v>129</v>
      </c>
      <c r="I31" s="91"/>
      <c r="J31" s="88" t="s">
        <v>1168</v>
      </c>
      <c r="K31" s="29"/>
      <c r="L31" s="29"/>
      <c r="M31" s="29"/>
      <c r="N31" s="538">
        <f t="shared" si="0"/>
        <v>0</v>
      </c>
      <c r="O31" s="29"/>
      <c r="P31" s="29"/>
      <c r="Q31" s="29"/>
      <c r="R31" s="29"/>
      <c r="S31" s="538"/>
      <c r="T31" s="29"/>
      <c r="U31" s="92" t="e">
        <f t="shared" si="3"/>
        <v>#DIV/0!</v>
      </c>
      <c r="V31" s="28"/>
      <c r="W31" s="28"/>
      <c r="X31" s="28"/>
      <c r="Y31" s="1113" t="s">
        <v>1136</v>
      </c>
    </row>
    <row r="32" spans="1:25" ht="22.5" customHeight="1" thickTop="1" thickBot="1" x14ac:dyDescent="0.3">
      <c r="A32" s="28" t="s">
        <v>127</v>
      </c>
      <c r="B32" s="28" t="s">
        <v>129</v>
      </c>
      <c r="C32" s="91" t="s">
        <v>134</v>
      </c>
      <c r="D32" s="28" t="s">
        <v>129</v>
      </c>
      <c r="E32" s="28" t="s">
        <v>129</v>
      </c>
      <c r="F32" s="28" t="s">
        <v>129</v>
      </c>
      <c r="G32" s="91" t="s">
        <v>140</v>
      </c>
      <c r="H32" s="91" t="s">
        <v>134</v>
      </c>
      <c r="I32" s="91"/>
      <c r="J32" s="88" t="s">
        <v>1169</v>
      </c>
      <c r="K32" s="29"/>
      <c r="L32" s="29"/>
      <c r="M32" s="29"/>
      <c r="N32" s="538">
        <f t="shared" si="0"/>
        <v>0</v>
      </c>
      <c r="O32" s="29"/>
      <c r="P32" s="29"/>
      <c r="Q32" s="29"/>
      <c r="R32" s="29"/>
      <c r="S32" s="538"/>
      <c r="T32" s="29"/>
      <c r="U32" s="92" t="e">
        <f t="shared" si="3"/>
        <v>#DIV/0!</v>
      </c>
      <c r="V32" s="28"/>
      <c r="W32" s="28"/>
      <c r="X32" s="28"/>
      <c r="Y32" s="1113" t="s">
        <v>1136</v>
      </c>
    </row>
    <row r="33" spans="1:25" ht="22.5" customHeight="1" thickTop="1" thickBot="1" x14ac:dyDescent="0.3">
      <c r="A33" s="1126" t="s">
        <v>127</v>
      </c>
      <c r="B33" s="1127" t="s">
        <v>129</v>
      </c>
      <c r="C33" s="1127" t="s">
        <v>134</v>
      </c>
      <c r="D33" s="1127" t="s">
        <v>134</v>
      </c>
      <c r="E33" s="1127"/>
      <c r="F33" s="1128"/>
      <c r="G33" s="1128"/>
      <c r="H33" s="1128"/>
      <c r="I33" s="1128"/>
      <c r="J33" s="1129" t="s">
        <v>141</v>
      </c>
      <c r="K33" s="1130">
        <f>+K34+K51</f>
        <v>12512230387</v>
      </c>
      <c r="L33" s="1130">
        <f>+L34+L51</f>
        <v>0</v>
      </c>
      <c r="M33" s="1130">
        <f>+M34+M51</f>
        <v>0</v>
      </c>
      <c r="N33" s="1130">
        <f t="shared" si="0"/>
        <v>12512230387</v>
      </c>
      <c r="O33" s="1130">
        <f t="shared" ref="O33:T33" si="16">+O34+O51</f>
        <v>3610355723.8999996</v>
      </c>
      <c r="P33" s="1130">
        <f t="shared" si="16"/>
        <v>7700739113.4000006</v>
      </c>
      <c r="Q33" s="1130">
        <f t="shared" si="16"/>
        <v>1201135549.7</v>
      </c>
      <c r="R33" s="1130">
        <f t="shared" si="16"/>
        <v>0</v>
      </c>
      <c r="S33" s="1130">
        <f>+S34+S51</f>
        <v>0</v>
      </c>
      <c r="T33" s="1130">
        <f t="shared" si="16"/>
        <v>13153438217.610001</v>
      </c>
      <c r="U33" s="1131" t="e">
        <f t="shared" si="3"/>
        <v>#DIV/0!</v>
      </c>
      <c r="V33" s="1127"/>
      <c r="W33" s="1126"/>
      <c r="X33" s="1126"/>
      <c r="Y33" s="1113" t="s">
        <v>1136</v>
      </c>
    </row>
    <row r="34" spans="1:25" ht="22.5" customHeight="1" thickTop="1" thickBot="1" x14ac:dyDescent="0.3">
      <c r="A34" s="1126">
        <v>1</v>
      </c>
      <c r="B34" s="1127" t="s">
        <v>129</v>
      </c>
      <c r="C34" s="1127" t="s">
        <v>134</v>
      </c>
      <c r="D34" s="1127" t="s">
        <v>134</v>
      </c>
      <c r="E34" s="1127" t="s">
        <v>129</v>
      </c>
      <c r="F34" s="1128"/>
      <c r="G34" s="1128"/>
      <c r="H34" s="1128"/>
      <c r="I34" s="1128"/>
      <c r="J34" s="1129" t="s">
        <v>1170</v>
      </c>
      <c r="K34" s="1130">
        <f>+K35</f>
        <v>8326139036</v>
      </c>
      <c r="L34" s="1130">
        <f>+L35</f>
        <v>0</v>
      </c>
      <c r="M34" s="1130">
        <f>+M35</f>
        <v>0</v>
      </c>
      <c r="N34" s="1130">
        <f t="shared" si="0"/>
        <v>8326139036</v>
      </c>
      <c r="O34" s="1130">
        <f t="shared" ref="O34:T34" si="17">+O35</f>
        <v>0</v>
      </c>
      <c r="P34" s="1130">
        <f t="shared" si="17"/>
        <v>7543612621.4000006</v>
      </c>
      <c r="Q34" s="1130">
        <f t="shared" si="17"/>
        <v>782526414.60000002</v>
      </c>
      <c r="R34" s="1130">
        <f t="shared" si="17"/>
        <v>0</v>
      </c>
      <c r="S34" s="1130">
        <f>+S35</f>
        <v>0</v>
      </c>
      <c r="T34" s="1130">
        <f t="shared" si="17"/>
        <v>7057150191</v>
      </c>
      <c r="U34" s="1131" t="e">
        <f t="shared" si="3"/>
        <v>#DIV/0!</v>
      </c>
      <c r="V34" s="1127"/>
      <c r="W34" s="1126"/>
      <c r="X34" s="1126"/>
      <c r="Y34" s="1113"/>
    </row>
    <row r="35" spans="1:25" s="1" customFormat="1" ht="22.5" customHeight="1" thickTop="1" thickBot="1" x14ac:dyDescent="0.3">
      <c r="A35" s="564" t="s">
        <v>127</v>
      </c>
      <c r="B35" s="564" t="s">
        <v>129</v>
      </c>
      <c r="C35" s="565" t="s">
        <v>134</v>
      </c>
      <c r="D35" s="565" t="s">
        <v>134</v>
      </c>
      <c r="E35" s="565" t="s">
        <v>129</v>
      </c>
      <c r="F35" s="565" t="s">
        <v>129</v>
      </c>
      <c r="G35" s="565"/>
      <c r="H35" s="91"/>
      <c r="I35" s="91"/>
      <c r="J35" s="566" t="s">
        <v>1171</v>
      </c>
      <c r="K35" s="1132">
        <f>+K36+K39+K42+K45+K48</f>
        <v>8326139036</v>
      </c>
      <c r="L35" s="1132">
        <f>+L36+L39+L42+L45+L48</f>
        <v>0</v>
      </c>
      <c r="M35" s="1132">
        <f>+M36+M39+M42+M45+M48</f>
        <v>0</v>
      </c>
      <c r="N35" s="1132">
        <f t="shared" si="0"/>
        <v>8326139036</v>
      </c>
      <c r="O35" s="1132">
        <f t="shared" ref="O35:T35" si="18">+O36+O39+O42+O45+O48</f>
        <v>0</v>
      </c>
      <c r="P35" s="1132">
        <f t="shared" si="18"/>
        <v>7543612621.4000006</v>
      </c>
      <c r="Q35" s="1132">
        <f t="shared" si="18"/>
        <v>782526414.60000002</v>
      </c>
      <c r="R35" s="1132">
        <f t="shared" si="18"/>
        <v>0</v>
      </c>
      <c r="S35" s="1132">
        <f>+S36+S39+S42+S45+S48</f>
        <v>0</v>
      </c>
      <c r="T35" s="1132">
        <f t="shared" si="18"/>
        <v>7057150191</v>
      </c>
      <c r="U35" s="1133" t="e">
        <f t="shared" si="3"/>
        <v>#DIV/0!</v>
      </c>
      <c r="V35" s="564"/>
      <c r="W35" s="564"/>
      <c r="X35" s="564"/>
      <c r="Y35" s="1113" t="s">
        <v>1136</v>
      </c>
    </row>
    <row r="36" spans="1:25" ht="22.5" customHeight="1" thickTop="1" thickBot="1" x14ac:dyDescent="0.3">
      <c r="A36" s="28" t="s">
        <v>127</v>
      </c>
      <c r="B36" s="28" t="s">
        <v>129</v>
      </c>
      <c r="C36" s="91" t="s">
        <v>134</v>
      </c>
      <c r="D36" s="91" t="s">
        <v>134</v>
      </c>
      <c r="E36" s="28" t="s">
        <v>129</v>
      </c>
      <c r="F36" s="91" t="s">
        <v>129</v>
      </c>
      <c r="G36" s="565" t="s">
        <v>129</v>
      </c>
      <c r="H36" s="91"/>
      <c r="I36" s="91"/>
      <c r="J36" s="566" t="s">
        <v>142</v>
      </c>
      <c r="K36" s="538">
        <f>+K37+K38</f>
        <v>7065443769</v>
      </c>
      <c r="L36" s="538">
        <f>+L37+L38</f>
        <v>0</v>
      </c>
      <c r="M36" s="538">
        <f>+M37+M38</f>
        <v>0</v>
      </c>
      <c r="N36" s="538">
        <f t="shared" si="0"/>
        <v>7065443769</v>
      </c>
      <c r="O36" s="538">
        <f t="shared" ref="O36:T36" si="19">+O37+O38</f>
        <v>0</v>
      </c>
      <c r="P36" s="538">
        <f t="shared" si="19"/>
        <v>6358899392.1000004</v>
      </c>
      <c r="Q36" s="538">
        <f t="shared" si="19"/>
        <v>706544376.89999998</v>
      </c>
      <c r="R36" s="538">
        <f t="shared" si="19"/>
        <v>0</v>
      </c>
      <c r="S36" s="538">
        <f t="shared" si="19"/>
        <v>0</v>
      </c>
      <c r="T36" s="538">
        <f t="shared" si="19"/>
        <v>6125427046</v>
      </c>
      <c r="U36" s="1134" t="e">
        <f t="shared" si="3"/>
        <v>#DIV/0!</v>
      </c>
      <c r="V36" s="28"/>
      <c r="W36" s="28" t="s">
        <v>1172</v>
      </c>
      <c r="X36" s="28" t="s">
        <v>1173</v>
      </c>
      <c r="Y36" s="127" t="s">
        <v>1136</v>
      </c>
    </row>
    <row r="37" spans="1:25" ht="22.5" customHeight="1" thickTop="1" thickBot="1" x14ac:dyDescent="0.3">
      <c r="A37" s="28" t="s">
        <v>127</v>
      </c>
      <c r="B37" s="28" t="s">
        <v>129</v>
      </c>
      <c r="C37" s="91" t="s">
        <v>134</v>
      </c>
      <c r="D37" s="91" t="s">
        <v>134</v>
      </c>
      <c r="E37" s="28" t="s">
        <v>129</v>
      </c>
      <c r="F37" s="28" t="s">
        <v>129</v>
      </c>
      <c r="G37" s="91" t="s">
        <v>129</v>
      </c>
      <c r="H37" s="91" t="s">
        <v>129</v>
      </c>
      <c r="I37" s="91"/>
      <c r="J37" s="88" t="s">
        <v>1174</v>
      </c>
      <c r="K37" s="538">
        <v>6995488880</v>
      </c>
      <c r="L37" s="538"/>
      <c r="M37" s="538"/>
      <c r="N37" s="538">
        <f t="shared" si="0"/>
        <v>6995488880</v>
      </c>
      <c r="O37" s="538"/>
      <c r="P37" s="29">
        <f>+N37*0.9</f>
        <v>6295939992</v>
      </c>
      <c r="Q37" s="538">
        <f>+N37*0.1</f>
        <v>699548888</v>
      </c>
      <c r="R37" s="538"/>
      <c r="S37" s="538"/>
      <c r="T37" s="538">
        <v>6073362905</v>
      </c>
      <c r="U37" s="1134" t="e">
        <f t="shared" si="3"/>
        <v>#DIV/0!</v>
      </c>
      <c r="V37" s="28"/>
      <c r="W37" s="28"/>
      <c r="X37" s="28"/>
      <c r="Y37" s="127" t="s">
        <v>1136</v>
      </c>
    </row>
    <row r="38" spans="1:25" ht="22.5" customHeight="1" thickTop="1" thickBot="1" x14ac:dyDescent="0.3">
      <c r="A38" s="28" t="s">
        <v>127</v>
      </c>
      <c r="B38" s="28" t="s">
        <v>129</v>
      </c>
      <c r="C38" s="91" t="s">
        <v>134</v>
      </c>
      <c r="D38" s="91" t="s">
        <v>134</v>
      </c>
      <c r="E38" s="28" t="s">
        <v>129</v>
      </c>
      <c r="F38" s="28" t="s">
        <v>129</v>
      </c>
      <c r="G38" s="91" t="s">
        <v>129</v>
      </c>
      <c r="H38" s="91" t="s">
        <v>134</v>
      </c>
      <c r="I38" s="91"/>
      <c r="J38" s="88" t="s">
        <v>1175</v>
      </c>
      <c r="K38" s="538">
        <v>69954889</v>
      </c>
      <c r="L38" s="538"/>
      <c r="M38" s="538"/>
      <c r="N38" s="538">
        <f t="shared" si="0"/>
        <v>69954889</v>
      </c>
      <c r="O38" s="538"/>
      <c r="P38" s="29">
        <f>+N38*0.9</f>
        <v>62959400.100000001</v>
      </c>
      <c r="Q38" s="538">
        <f>+N38*0.1</f>
        <v>6995488.9000000004</v>
      </c>
      <c r="R38" s="538"/>
      <c r="S38" s="538"/>
      <c r="T38" s="538">
        <v>52064141</v>
      </c>
      <c r="U38" s="1134" t="e">
        <f t="shared" si="3"/>
        <v>#DIV/0!</v>
      </c>
      <c r="V38" s="28"/>
      <c r="W38" s="28"/>
      <c r="X38" s="28"/>
      <c r="Y38" s="127" t="s">
        <v>1136</v>
      </c>
    </row>
    <row r="39" spans="1:25" ht="22.5" customHeight="1" thickTop="1" thickBot="1" x14ac:dyDescent="0.3">
      <c r="A39" s="28" t="s">
        <v>127</v>
      </c>
      <c r="B39" s="28" t="s">
        <v>129</v>
      </c>
      <c r="C39" s="91" t="s">
        <v>134</v>
      </c>
      <c r="D39" s="91" t="s">
        <v>134</v>
      </c>
      <c r="E39" s="28" t="s">
        <v>129</v>
      </c>
      <c r="F39" s="28" t="s">
        <v>129</v>
      </c>
      <c r="G39" s="565" t="s">
        <v>134</v>
      </c>
      <c r="H39" s="91"/>
      <c r="I39" s="91"/>
      <c r="J39" s="566" t="s">
        <v>143</v>
      </c>
      <c r="K39" s="538">
        <f>+K40+K41</f>
        <v>759820377</v>
      </c>
      <c r="L39" s="538">
        <f>+L40+L41</f>
        <v>0</v>
      </c>
      <c r="M39" s="538">
        <f>+M40+M41</f>
        <v>0</v>
      </c>
      <c r="N39" s="538">
        <f t="shared" si="0"/>
        <v>759820377</v>
      </c>
      <c r="O39" s="538">
        <f t="shared" ref="O39:T39" si="20">+O40+O41</f>
        <v>0</v>
      </c>
      <c r="P39" s="29">
        <f t="shared" si="20"/>
        <v>683838339.30000007</v>
      </c>
      <c r="Q39" s="538">
        <f t="shared" si="20"/>
        <v>75982037.700000003</v>
      </c>
      <c r="R39" s="538">
        <f t="shared" si="20"/>
        <v>0</v>
      </c>
      <c r="S39" s="538">
        <f t="shared" si="20"/>
        <v>0</v>
      </c>
      <c r="T39" s="538">
        <f t="shared" si="20"/>
        <v>860053119</v>
      </c>
      <c r="U39" s="1134" t="e">
        <f t="shared" si="3"/>
        <v>#DIV/0!</v>
      </c>
      <c r="V39" s="28"/>
      <c r="W39" s="28" t="s">
        <v>1176</v>
      </c>
      <c r="X39" s="28" t="s">
        <v>1177</v>
      </c>
      <c r="Y39" s="127" t="s">
        <v>1136</v>
      </c>
    </row>
    <row r="40" spans="1:25" ht="22.5" customHeight="1" thickTop="1" thickBot="1" x14ac:dyDescent="0.3">
      <c r="A40" s="28" t="s">
        <v>127</v>
      </c>
      <c r="B40" s="28" t="s">
        <v>129</v>
      </c>
      <c r="C40" s="91" t="s">
        <v>134</v>
      </c>
      <c r="D40" s="91" t="s">
        <v>134</v>
      </c>
      <c r="E40" s="28" t="s">
        <v>129</v>
      </c>
      <c r="F40" s="28" t="s">
        <v>129</v>
      </c>
      <c r="G40" s="91" t="s">
        <v>134</v>
      </c>
      <c r="H40" s="91" t="s">
        <v>129</v>
      </c>
      <c r="I40" s="91"/>
      <c r="J40" s="88" t="s">
        <v>1178</v>
      </c>
      <c r="K40" s="538">
        <v>716891249</v>
      </c>
      <c r="L40" s="538"/>
      <c r="M40" s="538"/>
      <c r="N40" s="538">
        <f t="shared" si="0"/>
        <v>716891249</v>
      </c>
      <c r="O40" s="538"/>
      <c r="P40" s="29">
        <f>+N40*0.9</f>
        <v>645202124.10000002</v>
      </c>
      <c r="Q40" s="538">
        <f>+N40*0.1</f>
        <v>71689124.900000006</v>
      </c>
      <c r="R40" s="538"/>
      <c r="S40" s="538"/>
      <c r="T40" s="538">
        <v>842512072</v>
      </c>
      <c r="U40" s="1134" t="e">
        <f t="shared" si="3"/>
        <v>#DIV/0!</v>
      </c>
      <c r="V40" s="28"/>
      <c r="W40" s="28"/>
      <c r="X40" s="28"/>
      <c r="Y40" s="127" t="s">
        <v>1136</v>
      </c>
    </row>
    <row r="41" spans="1:25" ht="22.5" customHeight="1" thickTop="1" thickBot="1" x14ac:dyDescent="0.3">
      <c r="A41" s="28" t="s">
        <v>127</v>
      </c>
      <c r="B41" s="28" t="s">
        <v>129</v>
      </c>
      <c r="C41" s="91" t="s">
        <v>134</v>
      </c>
      <c r="D41" s="91" t="s">
        <v>134</v>
      </c>
      <c r="E41" s="28" t="s">
        <v>129</v>
      </c>
      <c r="F41" s="28" t="s">
        <v>129</v>
      </c>
      <c r="G41" s="91" t="s">
        <v>134</v>
      </c>
      <c r="H41" s="91" t="s">
        <v>134</v>
      </c>
      <c r="I41" s="91"/>
      <c r="J41" s="88" t="s">
        <v>1179</v>
      </c>
      <c r="K41" s="538">
        <v>42929128</v>
      </c>
      <c r="L41" s="538"/>
      <c r="M41" s="538"/>
      <c r="N41" s="538">
        <f t="shared" si="0"/>
        <v>42929128</v>
      </c>
      <c r="O41" s="538"/>
      <c r="P41" s="29">
        <f>+N41*0.9</f>
        <v>38636215.200000003</v>
      </c>
      <c r="Q41" s="538">
        <f>+N41*0.1</f>
        <v>4292912.8</v>
      </c>
      <c r="R41" s="538"/>
      <c r="S41" s="538"/>
      <c r="T41" s="538">
        <v>17541047</v>
      </c>
      <c r="U41" s="1134" t="e">
        <f t="shared" si="3"/>
        <v>#DIV/0!</v>
      </c>
      <c r="V41" s="28"/>
      <c r="W41" s="28"/>
      <c r="X41" s="28"/>
      <c r="Y41" s="127" t="s">
        <v>1136</v>
      </c>
    </row>
    <row r="42" spans="1:25" ht="22.5" customHeight="1" thickTop="1" thickBot="1" x14ac:dyDescent="0.3">
      <c r="A42" s="28" t="s">
        <v>127</v>
      </c>
      <c r="B42" s="28" t="s">
        <v>129</v>
      </c>
      <c r="C42" s="91" t="s">
        <v>134</v>
      </c>
      <c r="D42" s="91" t="s">
        <v>134</v>
      </c>
      <c r="E42" s="28" t="s">
        <v>129</v>
      </c>
      <c r="F42" s="28" t="s">
        <v>129</v>
      </c>
      <c r="G42" s="565" t="s">
        <v>139</v>
      </c>
      <c r="H42" s="91"/>
      <c r="I42" s="91"/>
      <c r="J42" s="566" t="s">
        <v>1180</v>
      </c>
      <c r="K42" s="538">
        <f>+K43+K44</f>
        <v>500874890</v>
      </c>
      <c r="L42" s="538">
        <f>+L43+L44</f>
        <v>0</v>
      </c>
      <c r="M42" s="538">
        <f>+M43+M44</f>
        <v>0</v>
      </c>
      <c r="N42" s="538">
        <f t="shared" si="0"/>
        <v>500874890</v>
      </c>
      <c r="O42" s="538">
        <f t="shared" ref="O42:T42" si="21">+O43+O44</f>
        <v>0</v>
      </c>
      <c r="P42" s="29">
        <f t="shared" si="21"/>
        <v>500874890</v>
      </c>
      <c r="Q42" s="538">
        <f t="shared" si="21"/>
        <v>0</v>
      </c>
      <c r="R42" s="538">
        <f t="shared" si="21"/>
        <v>0</v>
      </c>
      <c r="S42" s="538">
        <f t="shared" si="21"/>
        <v>0</v>
      </c>
      <c r="T42" s="538">
        <f t="shared" si="21"/>
        <v>71670026</v>
      </c>
      <c r="U42" s="1134" t="e">
        <f t="shared" si="3"/>
        <v>#DIV/0!</v>
      </c>
      <c r="V42" s="28"/>
      <c r="W42" s="28"/>
      <c r="X42" s="28"/>
      <c r="Y42" s="127" t="s">
        <v>1136</v>
      </c>
    </row>
    <row r="43" spans="1:25" ht="22.5" customHeight="1" thickTop="1" thickBot="1" x14ac:dyDescent="0.3">
      <c r="A43" s="28" t="s">
        <v>127</v>
      </c>
      <c r="B43" s="28" t="s">
        <v>129</v>
      </c>
      <c r="C43" s="91" t="s">
        <v>134</v>
      </c>
      <c r="D43" s="91" t="s">
        <v>134</v>
      </c>
      <c r="E43" s="28" t="s">
        <v>129</v>
      </c>
      <c r="F43" s="28" t="s">
        <v>129</v>
      </c>
      <c r="G43" s="91" t="s">
        <v>139</v>
      </c>
      <c r="H43" s="91" t="s">
        <v>129</v>
      </c>
      <c r="I43" s="91"/>
      <c r="J43" s="88" t="s">
        <v>1181</v>
      </c>
      <c r="K43" s="538">
        <v>455340809</v>
      </c>
      <c r="L43" s="538"/>
      <c r="M43" s="538"/>
      <c r="N43" s="538">
        <f t="shared" si="0"/>
        <v>455340809</v>
      </c>
      <c r="O43" s="538"/>
      <c r="P43" s="29">
        <f>+N43</f>
        <v>455340809</v>
      </c>
      <c r="Q43" s="538"/>
      <c r="R43" s="538"/>
      <c r="S43" s="538"/>
      <c r="T43" s="538">
        <v>71670026</v>
      </c>
      <c r="U43" s="1134" t="e">
        <f t="shared" si="3"/>
        <v>#DIV/0!</v>
      </c>
      <c r="V43" s="28"/>
      <c r="W43" s="28"/>
      <c r="X43" s="28"/>
      <c r="Y43" s="127" t="s">
        <v>1136</v>
      </c>
    </row>
    <row r="44" spans="1:25" ht="22.5" customHeight="1" thickTop="1" thickBot="1" x14ac:dyDescent="0.3">
      <c r="A44" s="28" t="s">
        <v>127</v>
      </c>
      <c r="B44" s="28" t="s">
        <v>129</v>
      </c>
      <c r="C44" s="91" t="s">
        <v>134</v>
      </c>
      <c r="D44" s="91" t="s">
        <v>134</v>
      </c>
      <c r="E44" s="28" t="s">
        <v>129</v>
      </c>
      <c r="F44" s="28" t="s">
        <v>129</v>
      </c>
      <c r="G44" s="91" t="s">
        <v>139</v>
      </c>
      <c r="H44" s="91" t="s">
        <v>134</v>
      </c>
      <c r="I44" s="91"/>
      <c r="J44" s="88" t="s">
        <v>1182</v>
      </c>
      <c r="K44" s="538">
        <v>45534081</v>
      </c>
      <c r="L44" s="538"/>
      <c r="M44" s="538"/>
      <c r="N44" s="538">
        <f t="shared" si="0"/>
        <v>45534081</v>
      </c>
      <c r="O44" s="538"/>
      <c r="P44" s="29">
        <f>+N44</f>
        <v>45534081</v>
      </c>
      <c r="Q44" s="538"/>
      <c r="R44" s="538"/>
      <c r="S44" s="538"/>
      <c r="T44" s="538">
        <v>0</v>
      </c>
      <c r="U44" s="1134" t="e">
        <f t="shared" si="3"/>
        <v>#DIV/0!</v>
      </c>
      <c r="V44" s="28"/>
      <c r="W44" s="28"/>
      <c r="X44" s="28"/>
      <c r="Y44" s="127" t="s">
        <v>1136</v>
      </c>
    </row>
    <row r="45" spans="1:25" ht="22.5" customHeight="1" thickTop="1" thickBot="1" x14ac:dyDescent="0.3">
      <c r="A45" s="28" t="s">
        <v>127</v>
      </c>
      <c r="B45" s="28" t="s">
        <v>129</v>
      </c>
      <c r="C45" s="91" t="s">
        <v>134</v>
      </c>
      <c r="D45" s="91" t="s">
        <v>134</v>
      </c>
      <c r="E45" s="28" t="s">
        <v>129</v>
      </c>
      <c r="F45" s="28" t="s">
        <v>129</v>
      </c>
      <c r="G45" s="565" t="s">
        <v>140</v>
      </c>
      <c r="H45" s="91"/>
      <c r="I45" s="91"/>
      <c r="J45" s="566" t="s">
        <v>1183</v>
      </c>
      <c r="K45" s="538">
        <f>+K46+K47</f>
        <v>0</v>
      </c>
      <c r="L45" s="538">
        <f>+L46+L47</f>
        <v>0</v>
      </c>
      <c r="M45" s="538">
        <f>+M46+M47</f>
        <v>0</v>
      </c>
      <c r="N45" s="538">
        <f t="shared" si="0"/>
        <v>0</v>
      </c>
      <c r="O45" s="538">
        <f t="shared" ref="O45:T45" si="22">+O46+O47</f>
        <v>0</v>
      </c>
      <c r="P45" s="538">
        <f t="shared" si="22"/>
        <v>0</v>
      </c>
      <c r="Q45" s="538">
        <f t="shared" si="22"/>
        <v>0</v>
      </c>
      <c r="R45" s="538">
        <f t="shared" si="22"/>
        <v>0</v>
      </c>
      <c r="S45" s="538">
        <f t="shared" si="22"/>
        <v>0</v>
      </c>
      <c r="T45" s="538">
        <f t="shared" si="22"/>
        <v>0</v>
      </c>
      <c r="U45" s="1134" t="e">
        <f t="shared" si="3"/>
        <v>#DIV/0!</v>
      </c>
      <c r="V45" s="28"/>
      <c r="W45" s="28" t="s">
        <v>1184</v>
      </c>
      <c r="X45" s="28" t="s">
        <v>1185</v>
      </c>
      <c r="Y45" s="127" t="s">
        <v>1136</v>
      </c>
    </row>
    <row r="46" spans="1:25" ht="22.5" customHeight="1" thickTop="1" thickBot="1" x14ac:dyDescent="0.3">
      <c r="A46" s="28" t="s">
        <v>127</v>
      </c>
      <c r="B46" s="28" t="s">
        <v>129</v>
      </c>
      <c r="C46" s="91" t="s">
        <v>134</v>
      </c>
      <c r="D46" s="91" t="s">
        <v>134</v>
      </c>
      <c r="E46" s="28" t="s">
        <v>129</v>
      </c>
      <c r="F46" s="28" t="s">
        <v>129</v>
      </c>
      <c r="G46" s="91" t="s">
        <v>140</v>
      </c>
      <c r="H46" s="91" t="s">
        <v>129</v>
      </c>
      <c r="I46" s="91"/>
      <c r="J46" s="88" t="s">
        <v>1186</v>
      </c>
      <c r="K46" s="538"/>
      <c r="L46" s="538"/>
      <c r="M46" s="538"/>
      <c r="N46" s="538">
        <f t="shared" si="0"/>
        <v>0</v>
      </c>
      <c r="O46" s="538"/>
      <c r="P46" s="538"/>
      <c r="Q46" s="538"/>
      <c r="R46" s="538"/>
      <c r="S46" s="538"/>
      <c r="T46" s="538"/>
      <c r="U46" s="1134" t="e">
        <f t="shared" si="3"/>
        <v>#DIV/0!</v>
      </c>
      <c r="V46" s="28"/>
      <c r="W46" s="28"/>
      <c r="X46" s="28"/>
      <c r="Y46" s="127" t="s">
        <v>1136</v>
      </c>
    </row>
    <row r="47" spans="1:25" ht="22.5" customHeight="1" thickTop="1" thickBot="1" x14ac:dyDescent="0.3">
      <c r="A47" s="28" t="s">
        <v>127</v>
      </c>
      <c r="B47" s="28" t="s">
        <v>129</v>
      </c>
      <c r="C47" s="91" t="s">
        <v>134</v>
      </c>
      <c r="D47" s="91" t="s">
        <v>134</v>
      </c>
      <c r="E47" s="28" t="s">
        <v>129</v>
      </c>
      <c r="F47" s="28" t="s">
        <v>129</v>
      </c>
      <c r="G47" s="91" t="s">
        <v>140</v>
      </c>
      <c r="H47" s="91" t="s">
        <v>134</v>
      </c>
      <c r="I47" s="91"/>
      <c r="J47" s="88" t="s">
        <v>1187</v>
      </c>
      <c r="K47" s="538"/>
      <c r="L47" s="538"/>
      <c r="M47" s="538"/>
      <c r="N47" s="538">
        <f t="shared" si="0"/>
        <v>0</v>
      </c>
      <c r="O47" s="538"/>
      <c r="P47" s="538"/>
      <c r="Q47" s="538"/>
      <c r="R47" s="538"/>
      <c r="S47" s="538"/>
      <c r="T47" s="538"/>
      <c r="U47" s="1134" t="e">
        <f t="shared" si="3"/>
        <v>#DIV/0!</v>
      </c>
      <c r="V47" s="28"/>
      <c r="W47" s="28"/>
      <c r="X47" s="28"/>
      <c r="Y47" s="127" t="s">
        <v>1136</v>
      </c>
    </row>
    <row r="48" spans="1:25" ht="22.5" customHeight="1" thickTop="1" thickBot="1" x14ac:dyDescent="0.3">
      <c r="A48" s="28" t="s">
        <v>127</v>
      </c>
      <c r="B48" s="28" t="s">
        <v>129</v>
      </c>
      <c r="C48" s="91" t="s">
        <v>134</v>
      </c>
      <c r="D48" s="91" t="s">
        <v>134</v>
      </c>
      <c r="E48" s="28" t="s">
        <v>129</v>
      </c>
      <c r="F48" s="28" t="s">
        <v>129</v>
      </c>
      <c r="G48" s="565" t="s">
        <v>144</v>
      </c>
      <c r="H48" s="91"/>
      <c r="I48" s="91"/>
      <c r="J48" s="566" t="s">
        <v>1188</v>
      </c>
      <c r="K48" s="29">
        <f>+K49+K50</f>
        <v>0</v>
      </c>
      <c r="L48" s="29">
        <f>+L49+L50</f>
        <v>0</v>
      </c>
      <c r="M48" s="29">
        <f>+M49+M50</f>
        <v>0</v>
      </c>
      <c r="N48" s="29">
        <f t="shared" si="0"/>
        <v>0</v>
      </c>
      <c r="O48" s="29">
        <f t="shared" ref="O48:T48" si="23">+O49+O50</f>
        <v>0</v>
      </c>
      <c r="P48" s="29">
        <f t="shared" si="23"/>
        <v>0</v>
      </c>
      <c r="Q48" s="29">
        <f t="shared" si="23"/>
        <v>0</v>
      </c>
      <c r="R48" s="29">
        <f t="shared" si="23"/>
        <v>0</v>
      </c>
      <c r="S48" s="29">
        <f t="shared" si="23"/>
        <v>0</v>
      </c>
      <c r="T48" s="29">
        <f t="shared" si="23"/>
        <v>0</v>
      </c>
      <c r="U48" s="92" t="e">
        <f t="shared" si="3"/>
        <v>#DIV/0!</v>
      </c>
      <c r="V48" s="28"/>
      <c r="W48" s="28"/>
      <c r="X48" s="28"/>
      <c r="Y48" s="127" t="s">
        <v>1136</v>
      </c>
    </row>
    <row r="49" spans="1:25" ht="22.5" customHeight="1" thickTop="1" thickBot="1" x14ac:dyDescent="0.3">
      <c r="A49" s="28" t="s">
        <v>127</v>
      </c>
      <c r="B49" s="28" t="s">
        <v>129</v>
      </c>
      <c r="C49" s="91" t="s">
        <v>134</v>
      </c>
      <c r="D49" s="91" t="s">
        <v>134</v>
      </c>
      <c r="E49" s="28" t="s">
        <v>129</v>
      </c>
      <c r="F49" s="28" t="s">
        <v>129</v>
      </c>
      <c r="G49" s="91" t="s">
        <v>144</v>
      </c>
      <c r="H49" s="91" t="s">
        <v>129</v>
      </c>
      <c r="I49" s="91"/>
      <c r="J49" s="88" t="s">
        <v>1189</v>
      </c>
      <c r="K49" s="29"/>
      <c r="L49" s="29"/>
      <c r="M49" s="29"/>
      <c r="N49" s="29">
        <f t="shared" si="0"/>
        <v>0</v>
      </c>
      <c r="O49" s="29"/>
      <c r="P49" s="29"/>
      <c r="Q49" s="29"/>
      <c r="R49" s="29"/>
      <c r="S49" s="29"/>
      <c r="T49" s="29"/>
      <c r="U49" s="92" t="e">
        <f t="shared" si="3"/>
        <v>#DIV/0!</v>
      </c>
      <c r="V49" s="28"/>
      <c r="W49" s="28"/>
      <c r="X49" s="28"/>
      <c r="Y49" s="127" t="s">
        <v>1136</v>
      </c>
    </row>
    <row r="50" spans="1:25" ht="22.5" customHeight="1" thickTop="1" thickBot="1" x14ac:dyDescent="0.3">
      <c r="A50" s="28" t="s">
        <v>127</v>
      </c>
      <c r="B50" s="28" t="s">
        <v>129</v>
      </c>
      <c r="C50" s="91" t="s">
        <v>134</v>
      </c>
      <c r="D50" s="91" t="s">
        <v>134</v>
      </c>
      <c r="E50" s="28" t="s">
        <v>129</v>
      </c>
      <c r="F50" s="28" t="s">
        <v>129</v>
      </c>
      <c r="G50" s="91" t="s">
        <v>144</v>
      </c>
      <c r="H50" s="91" t="s">
        <v>134</v>
      </c>
      <c r="I50" s="91"/>
      <c r="J50" s="88" t="s">
        <v>1190</v>
      </c>
      <c r="K50" s="29"/>
      <c r="L50" s="29"/>
      <c r="M50" s="29"/>
      <c r="N50" s="29">
        <f t="shared" si="0"/>
        <v>0</v>
      </c>
      <c r="O50" s="29"/>
      <c r="P50" s="29"/>
      <c r="Q50" s="29"/>
      <c r="R50" s="29"/>
      <c r="S50" s="29"/>
      <c r="T50" s="29"/>
      <c r="U50" s="92" t="e">
        <f t="shared" si="3"/>
        <v>#DIV/0!</v>
      </c>
      <c r="V50" s="28"/>
      <c r="W50" s="28"/>
      <c r="X50" s="28"/>
      <c r="Y50" s="127" t="s">
        <v>1136</v>
      </c>
    </row>
    <row r="51" spans="1:25" ht="22.5" customHeight="1" thickTop="1" thickBot="1" x14ac:dyDescent="0.3">
      <c r="A51" s="1126">
        <v>1</v>
      </c>
      <c r="B51" s="1127" t="s">
        <v>129</v>
      </c>
      <c r="C51" s="1127" t="s">
        <v>134</v>
      </c>
      <c r="D51" s="1127" t="s">
        <v>134</v>
      </c>
      <c r="E51" s="1127" t="s">
        <v>134</v>
      </c>
      <c r="F51" s="1128"/>
      <c r="G51" s="1128"/>
      <c r="H51" s="1128"/>
      <c r="I51" s="1128"/>
      <c r="J51" s="1129" t="s">
        <v>1191</v>
      </c>
      <c r="K51" s="1136">
        <f>+K52+K55+K58+K61+K64+K67+K70+K73</f>
        <v>4186091351</v>
      </c>
      <c r="L51" s="1136">
        <f>+L52+L55+L58+L61+L64+L67+L70+L73</f>
        <v>0</v>
      </c>
      <c r="M51" s="1136">
        <f>+M52+M55+M58+M61+M64+M67+M70+M73</f>
        <v>0</v>
      </c>
      <c r="N51" s="1136">
        <f t="shared" si="0"/>
        <v>4186091351</v>
      </c>
      <c r="O51" s="1136">
        <f t="shared" ref="O51:T51" si="24">+O52+O55+O58+O61+O64+O67+O70+O73</f>
        <v>3610355723.8999996</v>
      </c>
      <c r="P51" s="1136">
        <f t="shared" si="24"/>
        <v>157126492</v>
      </c>
      <c r="Q51" s="1136">
        <f t="shared" si="24"/>
        <v>418609135.10000002</v>
      </c>
      <c r="R51" s="1136">
        <f t="shared" si="24"/>
        <v>0</v>
      </c>
      <c r="S51" s="1136">
        <f>+S52+S55+S58+S61+S64+S67+S70+S73</f>
        <v>0</v>
      </c>
      <c r="T51" s="1136">
        <f t="shared" si="24"/>
        <v>6096288026.6100006</v>
      </c>
      <c r="U51" s="1131" t="e">
        <f t="shared" si="3"/>
        <v>#DIV/0!</v>
      </c>
      <c r="V51" s="1127"/>
      <c r="W51" s="1126" t="s">
        <v>1192</v>
      </c>
      <c r="X51" s="1126" t="s">
        <v>1193</v>
      </c>
      <c r="Y51" s="1113" t="s">
        <v>1136</v>
      </c>
    </row>
    <row r="52" spans="1:25" ht="22.5" customHeight="1" thickTop="1" thickBot="1" x14ac:dyDescent="0.3">
      <c r="A52" s="28">
        <v>1</v>
      </c>
      <c r="B52" s="28" t="s">
        <v>129</v>
      </c>
      <c r="C52" s="91" t="s">
        <v>134</v>
      </c>
      <c r="D52" s="91" t="s">
        <v>134</v>
      </c>
      <c r="E52" s="28" t="s">
        <v>134</v>
      </c>
      <c r="F52" s="565" t="s">
        <v>129</v>
      </c>
      <c r="G52" s="91"/>
      <c r="H52" s="91"/>
      <c r="I52" s="91"/>
      <c r="J52" s="566" t="s">
        <v>1194</v>
      </c>
      <c r="K52" s="1137">
        <f>+K53+K54</f>
        <v>4132871950</v>
      </c>
      <c r="L52" s="1137">
        <f>+L53+L54</f>
        <v>0</v>
      </c>
      <c r="M52" s="1137">
        <f>+M53+M54</f>
        <v>0</v>
      </c>
      <c r="N52" s="1137">
        <f t="shared" si="0"/>
        <v>4132871950</v>
      </c>
      <c r="O52" s="1137">
        <f t="shared" ref="O52:T52" si="25">+O53+O54</f>
        <v>3562458263</v>
      </c>
      <c r="P52" s="1137">
        <f t="shared" si="25"/>
        <v>157126492</v>
      </c>
      <c r="Q52" s="1137">
        <f t="shared" si="25"/>
        <v>413287195</v>
      </c>
      <c r="R52" s="1137">
        <f t="shared" si="25"/>
        <v>0</v>
      </c>
      <c r="S52" s="1137">
        <f t="shared" si="25"/>
        <v>0</v>
      </c>
      <c r="T52" s="1137">
        <f t="shared" si="25"/>
        <v>6035266638.0900002</v>
      </c>
      <c r="U52" s="1135" t="e">
        <f t="shared" si="3"/>
        <v>#DIV/0!</v>
      </c>
      <c r="V52" s="565"/>
      <c r="W52" s="28" t="s">
        <v>1195</v>
      </c>
      <c r="X52" s="28"/>
      <c r="Y52" s="1113" t="s">
        <v>1136</v>
      </c>
    </row>
    <row r="53" spans="1:25" ht="22.5" customHeight="1" thickTop="1" thickBot="1" x14ac:dyDescent="0.3">
      <c r="A53" s="28">
        <v>1</v>
      </c>
      <c r="B53" s="28" t="s">
        <v>129</v>
      </c>
      <c r="C53" s="91" t="s">
        <v>134</v>
      </c>
      <c r="D53" s="91" t="s">
        <v>134</v>
      </c>
      <c r="E53" s="28" t="s">
        <v>134</v>
      </c>
      <c r="F53" s="91" t="s">
        <v>129</v>
      </c>
      <c r="G53" s="565" t="s">
        <v>129</v>
      </c>
      <c r="H53" s="91"/>
      <c r="I53" s="91"/>
      <c r="J53" s="88" t="s">
        <v>1196</v>
      </c>
      <c r="K53" s="30">
        <v>3753629368</v>
      </c>
      <c r="L53" s="30"/>
      <c r="M53" s="30"/>
      <c r="N53" s="30">
        <f t="shared" si="0"/>
        <v>3753629368</v>
      </c>
      <c r="O53" s="30">
        <f>+N53-P53-Q53</f>
        <v>3221139939.1999998</v>
      </c>
      <c r="P53" s="30">
        <v>157126492</v>
      </c>
      <c r="Q53" s="30">
        <f>+N53*0.1</f>
        <v>375362936.80000001</v>
      </c>
      <c r="R53" s="30"/>
      <c r="S53" s="30"/>
      <c r="T53" s="30">
        <f>5606731002.09+6211950</f>
        <v>5612942952.0900002</v>
      </c>
      <c r="U53" s="92" t="e">
        <f t="shared" si="3"/>
        <v>#DIV/0!</v>
      </c>
      <c r="V53" s="565"/>
      <c r="W53" s="28"/>
      <c r="X53" s="28"/>
      <c r="Y53" s="1113" t="s">
        <v>1136</v>
      </c>
    </row>
    <row r="54" spans="1:25" ht="22.5" customHeight="1" thickTop="1" thickBot="1" x14ac:dyDescent="0.3">
      <c r="A54" s="28">
        <v>1</v>
      </c>
      <c r="B54" s="28" t="s">
        <v>129</v>
      </c>
      <c r="C54" s="91" t="s">
        <v>134</v>
      </c>
      <c r="D54" s="91" t="s">
        <v>134</v>
      </c>
      <c r="E54" s="28" t="s">
        <v>134</v>
      </c>
      <c r="F54" s="91" t="s">
        <v>129</v>
      </c>
      <c r="G54" s="565" t="s">
        <v>134</v>
      </c>
      <c r="H54" s="91"/>
      <c r="I54" s="91"/>
      <c r="J54" s="88" t="s">
        <v>1197</v>
      </c>
      <c r="K54" s="30">
        <v>379242582</v>
      </c>
      <c r="L54" s="30"/>
      <c r="M54" s="30"/>
      <c r="N54" s="30">
        <f t="shared" si="0"/>
        <v>379242582</v>
      </c>
      <c r="O54" s="30">
        <f>+N54*0.9</f>
        <v>341318323.80000001</v>
      </c>
      <c r="P54" s="30"/>
      <c r="Q54" s="30">
        <f>+N54*0.1</f>
        <v>37924258.200000003</v>
      </c>
      <c r="R54" s="30"/>
      <c r="S54" s="30"/>
      <c r="T54" s="30">
        <v>422323686</v>
      </c>
      <c r="U54" s="92" t="e">
        <f t="shared" si="3"/>
        <v>#DIV/0!</v>
      </c>
      <c r="V54" s="565"/>
      <c r="W54" s="28"/>
      <c r="X54" s="28"/>
      <c r="Y54" s="1113" t="s">
        <v>1136</v>
      </c>
    </row>
    <row r="55" spans="1:25" ht="22.5" customHeight="1" thickTop="1" thickBot="1" x14ac:dyDescent="0.3">
      <c r="A55" s="28">
        <v>1</v>
      </c>
      <c r="B55" s="28" t="s">
        <v>129</v>
      </c>
      <c r="C55" s="91" t="s">
        <v>134</v>
      </c>
      <c r="D55" s="91" t="s">
        <v>134</v>
      </c>
      <c r="E55" s="28" t="s">
        <v>134</v>
      </c>
      <c r="F55" s="565" t="s">
        <v>134</v>
      </c>
      <c r="G55" s="91"/>
      <c r="H55" s="91"/>
      <c r="I55" s="91"/>
      <c r="J55" s="566" t="s">
        <v>1198</v>
      </c>
      <c r="K55" s="1137">
        <f>+K56+K57</f>
        <v>23661938</v>
      </c>
      <c r="L55" s="1137">
        <f>+L56+L57</f>
        <v>0</v>
      </c>
      <c r="M55" s="1137">
        <f>+M56+M57</f>
        <v>0</v>
      </c>
      <c r="N55" s="1137">
        <f t="shared" si="0"/>
        <v>23661938</v>
      </c>
      <c r="O55" s="1137">
        <f t="shared" ref="O55:T55" si="26">+O56+O57</f>
        <v>21295744.199999999</v>
      </c>
      <c r="P55" s="1137">
        <f t="shared" si="26"/>
        <v>0</v>
      </c>
      <c r="Q55" s="1137">
        <f t="shared" si="26"/>
        <v>2366193.8000000003</v>
      </c>
      <c r="R55" s="1137">
        <f t="shared" si="26"/>
        <v>0</v>
      </c>
      <c r="S55" s="1137">
        <f t="shared" si="26"/>
        <v>0</v>
      </c>
      <c r="T55" s="1137">
        <f t="shared" si="26"/>
        <v>8262040.0199999996</v>
      </c>
      <c r="U55" s="1135" t="e">
        <f t="shared" si="3"/>
        <v>#DIV/0!</v>
      </c>
      <c r="V55" s="565"/>
      <c r="W55" s="28" t="s">
        <v>1195</v>
      </c>
      <c r="X55" s="28"/>
      <c r="Y55" s="1113" t="s">
        <v>1136</v>
      </c>
    </row>
    <row r="56" spans="1:25" ht="22.5" customHeight="1" thickTop="1" thickBot="1" x14ac:dyDescent="0.3">
      <c r="A56" s="28">
        <v>1</v>
      </c>
      <c r="B56" s="28" t="s">
        <v>129</v>
      </c>
      <c r="C56" s="91" t="s">
        <v>134</v>
      </c>
      <c r="D56" s="91" t="s">
        <v>134</v>
      </c>
      <c r="E56" s="28" t="s">
        <v>134</v>
      </c>
      <c r="F56" s="91" t="s">
        <v>134</v>
      </c>
      <c r="G56" s="565" t="s">
        <v>129</v>
      </c>
      <c r="H56" s="91"/>
      <c r="I56" s="91"/>
      <c r="J56" s="88" t="s">
        <v>1199</v>
      </c>
      <c r="K56" s="30">
        <v>21510853</v>
      </c>
      <c r="L56" s="30"/>
      <c r="M56" s="30"/>
      <c r="N56" s="30">
        <f t="shared" si="0"/>
        <v>21510853</v>
      </c>
      <c r="O56" s="30">
        <f>+N56*0.9</f>
        <v>19359767.699999999</v>
      </c>
      <c r="P56" s="30"/>
      <c r="Q56" s="30">
        <f>+N56*0.1</f>
        <v>2151085.3000000003</v>
      </c>
      <c r="R56" s="30"/>
      <c r="S56" s="30"/>
      <c r="T56" s="30">
        <v>8262040.0199999996</v>
      </c>
      <c r="U56" s="92" t="e">
        <f t="shared" si="3"/>
        <v>#DIV/0!</v>
      </c>
      <c r="V56" s="565"/>
      <c r="W56" s="28"/>
      <c r="X56" s="28"/>
      <c r="Y56" s="1113" t="s">
        <v>1136</v>
      </c>
    </row>
    <row r="57" spans="1:25" ht="22.5" customHeight="1" thickTop="1" thickBot="1" x14ac:dyDescent="0.3">
      <c r="A57" s="28">
        <v>1</v>
      </c>
      <c r="B57" s="28" t="s">
        <v>129</v>
      </c>
      <c r="C57" s="91" t="s">
        <v>134</v>
      </c>
      <c r="D57" s="91" t="s">
        <v>134</v>
      </c>
      <c r="E57" s="28" t="s">
        <v>134</v>
      </c>
      <c r="F57" s="91" t="s">
        <v>134</v>
      </c>
      <c r="G57" s="565" t="s">
        <v>134</v>
      </c>
      <c r="H57" s="91"/>
      <c r="I57" s="91"/>
      <c r="J57" s="88" t="s">
        <v>1200</v>
      </c>
      <c r="K57" s="30">
        <v>2151085</v>
      </c>
      <c r="L57" s="30"/>
      <c r="M57" s="30"/>
      <c r="N57" s="30">
        <f t="shared" si="0"/>
        <v>2151085</v>
      </c>
      <c r="O57" s="30">
        <f>+N57*0.9</f>
        <v>1935976.5</v>
      </c>
      <c r="P57" s="30"/>
      <c r="Q57" s="30">
        <f>+N57*0.1</f>
        <v>215108.5</v>
      </c>
      <c r="R57" s="30"/>
      <c r="S57" s="30"/>
      <c r="T57" s="30">
        <v>0</v>
      </c>
      <c r="U57" s="92" t="e">
        <f t="shared" si="3"/>
        <v>#DIV/0!</v>
      </c>
      <c r="V57" s="565"/>
      <c r="W57" s="28"/>
      <c r="X57" s="28"/>
      <c r="Y57" s="1113" t="s">
        <v>1136</v>
      </c>
    </row>
    <row r="58" spans="1:25" ht="22.5" customHeight="1" thickTop="1" thickBot="1" x14ac:dyDescent="0.3">
      <c r="A58" s="28">
        <v>1</v>
      </c>
      <c r="B58" s="28" t="s">
        <v>129</v>
      </c>
      <c r="C58" s="91" t="s">
        <v>134</v>
      </c>
      <c r="D58" s="91" t="s">
        <v>134</v>
      </c>
      <c r="E58" s="28" t="s">
        <v>134</v>
      </c>
      <c r="F58" s="565" t="s">
        <v>139</v>
      </c>
      <c r="G58" s="91"/>
      <c r="H58" s="91"/>
      <c r="I58" s="91"/>
      <c r="J58" s="566" t="s">
        <v>1201</v>
      </c>
      <c r="K58" s="1137">
        <f>+K59+K60</f>
        <v>2443325</v>
      </c>
      <c r="L58" s="1137">
        <f>+L59+L60</f>
        <v>0</v>
      </c>
      <c r="M58" s="1137">
        <f>+M59+M60</f>
        <v>0</v>
      </c>
      <c r="N58" s="1137">
        <f t="shared" si="0"/>
        <v>2443325</v>
      </c>
      <c r="O58" s="1137">
        <f t="shared" ref="O58:T58" si="27">+O59+O60</f>
        <v>2198992.5</v>
      </c>
      <c r="P58" s="1137">
        <f t="shared" si="27"/>
        <v>0</v>
      </c>
      <c r="Q58" s="1137">
        <f t="shared" si="27"/>
        <v>244332.5</v>
      </c>
      <c r="R58" s="1137">
        <f t="shared" si="27"/>
        <v>0</v>
      </c>
      <c r="S58" s="1137">
        <f t="shared" si="27"/>
        <v>0</v>
      </c>
      <c r="T58" s="1137">
        <f t="shared" si="27"/>
        <v>0</v>
      </c>
      <c r="U58" s="1135" t="e">
        <f t="shared" si="3"/>
        <v>#DIV/0!</v>
      </c>
      <c r="V58" s="565"/>
      <c r="W58" s="28"/>
      <c r="X58" s="28"/>
      <c r="Y58" s="1113" t="s">
        <v>1136</v>
      </c>
    </row>
    <row r="59" spans="1:25" ht="22.5" customHeight="1" thickTop="1" thickBot="1" x14ac:dyDescent="0.3">
      <c r="A59" s="28">
        <v>1</v>
      </c>
      <c r="B59" s="28" t="s">
        <v>129</v>
      </c>
      <c r="C59" s="91" t="s">
        <v>134</v>
      </c>
      <c r="D59" s="91" t="s">
        <v>134</v>
      </c>
      <c r="E59" s="28" t="s">
        <v>134</v>
      </c>
      <c r="F59" s="91" t="s">
        <v>139</v>
      </c>
      <c r="G59" s="565" t="s">
        <v>129</v>
      </c>
      <c r="H59" s="91"/>
      <c r="I59" s="91"/>
      <c r="J59" s="88" t="s">
        <v>1202</v>
      </c>
      <c r="K59" s="30">
        <v>2443325</v>
      </c>
      <c r="L59" s="30"/>
      <c r="M59" s="30"/>
      <c r="N59" s="30">
        <f t="shared" si="0"/>
        <v>2443325</v>
      </c>
      <c r="O59" s="30">
        <f>+N59*0.9</f>
        <v>2198992.5</v>
      </c>
      <c r="P59" s="30"/>
      <c r="Q59" s="30">
        <f>+N59*0.1</f>
        <v>244332.5</v>
      </c>
      <c r="R59" s="30"/>
      <c r="S59" s="30"/>
      <c r="T59" s="30">
        <v>0</v>
      </c>
      <c r="U59" s="92" t="e">
        <f t="shared" si="3"/>
        <v>#DIV/0!</v>
      </c>
      <c r="V59" s="565"/>
      <c r="W59" s="28"/>
      <c r="X59" s="28"/>
      <c r="Y59" s="1113" t="s">
        <v>1136</v>
      </c>
    </row>
    <row r="60" spans="1:25" ht="22.5" customHeight="1" thickTop="1" thickBot="1" x14ac:dyDescent="0.3">
      <c r="A60" s="28">
        <v>1</v>
      </c>
      <c r="B60" s="28" t="s">
        <v>129</v>
      </c>
      <c r="C60" s="91" t="s">
        <v>134</v>
      </c>
      <c r="D60" s="91" t="s">
        <v>134</v>
      </c>
      <c r="E60" s="28" t="s">
        <v>134</v>
      </c>
      <c r="F60" s="91" t="s">
        <v>139</v>
      </c>
      <c r="G60" s="565" t="s">
        <v>134</v>
      </c>
      <c r="H60" s="91"/>
      <c r="I60" s="91"/>
      <c r="J60" s="88" t="s">
        <v>1203</v>
      </c>
      <c r="K60" s="30"/>
      <c r="L60" s="30"/>
      <c r="M60" s="30"/>
      <c r="N60" s="30">
        <f t="shared" si="0"/>
        <v>0</v>
      </c>
      <c r="O60" s="30"/>
      <c r="P60" s="30"/>
      <c r="Q60" s="30"/>
      <c r="R60" s="30"/>
      <c r="S60" s="30"/>
      <c r="T60" s="30"/>
      <c r="U60" s="92" t="e">
        <f t="shared" si="3"/>
        <v>#DIV/0!</v>
      </c>
      <c r="V60" s="565"/>
      <c r="W60" s="28"/>
      <c r="X60" s="28"/>
      <c r="Y60" s="1113" t="s">
        <v>1136</v>
      </c>
    </row>
    <row r="61" spans="1:25" ht="22.5" customHeight="1" thickTop="1" thickBot="1" x14ac:dyDescent="0.3">
      <c r="A61" s="28">
        <v>1</v>
      </c>
      <c r="B61" s="28" t="s">
        <v>129</v>
      </c>
      <c r="C61" s="91" t="s">
        <v>134</v>
      </c>
      <c r="D61" s="91" t="s">
        <v>134</v>
      </c>
      <c r="E61" s="28" t="s">
        <v>134</v>
      </c>
      <c r="F61" s="565" t="s">
        <v>140</v>
      </c>
      <c r="G61" s="91"/>
      <c r="H61" s="91"/>
      <c r="I61" s="91"/>
      <c r="J61" s="566" t="s">
        <v>1204</v>
      </c>
      <c r="K61" s="1137">
        <f>+K62+K63</f>
        <v>0</v>
      </c>
      <c r="L61" s="1137">
        <f>+L62+L63</f>
        <v>0</v>
      </c>
      <c r="M61" s="1137">
        <f>+M62+M63</f>
        <v>0</v>
      </c>
      <c r="N61" s="1137">
        <f t="shared" si="0"/>
        <v>0</v>
      </c>
      <c r="O61" s="1137">
        <f t="shared" ref="O61:T61" si="28">+O62+O63</f>
        <v>0</v>
      </c>
      <c r="P61" s="1137">
        <f t="shared" si="28"/>
        <v>0</v>
      </c>
      <c r="Q61" s="1137">
        <f t="shared" si="28"/>
        <v>0</v>
      </c>
      <c r="R61" s="1137">
        <f t="shared" si="28"/>
        <v>0</v>
      </c>
      <c r="S61" s="1137">
        <f t="shared" si="28"/>
        <v>0</v>
      </c>
      <c r="T61" s="1137">
        <f t="shared" si="28"/>
        <v>0</v>
      </c>
      <c r="U61" s="1135" t="e">
        <f t="shared" si="3"/>
        <v>#DIV/0!</v>
      </c>
      <c r="V61" s="565"/>
      <c r="W61" s="28"/>
      <c r="X61" s="28"/>
      <c r="Y61" s="1113" t="s">
        <v>1136</v>
      </c>
    </row>
    <row r="62" spans="1:25" ht="22.5" customHeight="1" thickTop="1" thickBot="1" x14ac:dyDescent="0.3">
      <c r="A62" s="28">
        <v>1</v>
      </c>
      <c r="B62" s="28" t="s">
        <v>129</v>
      </c>
      <c r="C62" s="91" t="s">
        <v>134</v>
      </c>
      <c r="D62" s="91" t="s">
        <v>134</v>
      </c>
      <c r="E62" s="28" t="s">
        <v>134</v>
      </c>
      <c r="F62" s="91" t="s">
        <v>140</v>
      </c>
      <c r="G62" s="565" t="s">
        <v>129</v>
      </c>
      <c r="H62" s="91"/>
      <c r="I62" s="91"/>
      <c r="J62" s="88" t="s">
        <v>1205</v>
      </c>
      <c r="K62" s="30"/>
      <c r="L62" s="30"/>
      <c r="M62" s="30"/>
      <c r="N62" s="30">
        <f t="shared" si="0"/>
        <v>0</v>
      </c>
      <c r="O62" s="30"/>
      <c r="P62" s="30"/>
      <c r="Q62" s="30"/>
      <c r="R62" s="30"/>
      <c r="S62" s="30"/>
      <c r="T62" s="30"/>
      <c r="U62" s="92" t="e">
        <f t="shared" si="3"/>
        <v>#DIV/0!</v>
      </c>
      <c r="V62" s="565"/>
      <c r="W62" s="28"/>
      <c r="X62" s="28"/>
      <c r="Y62" s="1113" t="s">
        <v>1136</v>
      </c>
    </row>
    <row r="63" spans="1:25" ht="22.5" customHeight="1" thickTop="1" thickBot="1" x14ac:dyDescent="0.3">
      <c r="A63" s="28">
        <v>1</v>
      </c>
      <c r="B63" s="28" t="s">
        <v>129</v>
      </c>
      <c r="C63" s="91" t="s">
        <v>134</v>
      </c>
      <c r="D63" s="91" t="s">
        <v>134</v>
      </c>
      <c r="E63" s="28" t="s">
        <v>134</v>
      </c>
      <c r="F63" s="91" t="s">
        <v>140</v>
      </c>
      <c r="G63" s="565" t="s">
        <v>134</v>
      </c>
      <c r="H63" s="91"/>
      <c r="I63" s="91"/>
      <c r="J63" s="88" t="s">
        <v>1206</v>
      </c>
      <c r="K63" s="30"/>
      <c r="L63" s="30"/>
      <c r="M63" s="30"/>
      <c r="N63" s="30">
        <f t="shared" si="0"/>
        <v>0</v>
      </c>
      <c r="O63" s="30"/>
      <c r="P63" s="30"/>
      <c r="Q63" s="30"/>
      <c r="R63" s="30"/>
      <c r="S63" s="30"/>
      <c r="T63" s="30"/>
      <c r="U63" s="92" t="e">
        <f t="shared" si="3"/>
        <v>#DIV/0!</v>
      </c>
      <c r="V63" s="565"/>
      <c r="W63" s="28"/>
      <c r="X63" s="28"/>
      <c r="Y63" s="1113" t="s">
        <v>1136</v>
      </c>
    </row>
    <row r="64" spans="1:25" ht="22.5" customHeight="1" thickTop="1" thickBot="1" x14ac:dyDescent="0.3">
      <c r="A64" s="28">
        <v>1</v>
      </c>
      <c r="B64" s="28" t="s">
        <v>129</v>
      </c>
      <c r="C64" s="91" t="s">
        <v>134</v>
      </c>
      <c r="D64" s="91" t="s">
        <v>134</v>
      </c>
      <c r="E64" s="28" t="s">
        <v>134</v>
      </c>
      <c r="F64" s="565" t="s">
        <v>144</v>
      </c>
      <c r="G64" s="91"/>
      <c r="H64" s="91"/>
      <c r="I64" s="91"/>
      <c r="J64" s="566" t="s">
        <v>1207</v>
      </c>
      <c r="K64" s="1137">
        <f>+K65+K66</f>
        <v>0</v>
      </c>
      <c r="L64" s="1137">
        <f>+L65+L66</f>
        <v>0</v>
      </c>
      <c r="M64" s="1137">
        <f>+M65+M66</f>
        <v>0</v>
      </c>
      <c r="N64" s="1137">
        <f t="shared" si="0"/>
        <v>0</v>
      </c>
      <c r="O64" s="1137">
        <f t="shared" ref="O64:T64" si="29">+O65+O66</f>
        <v>0</v>
      </c>
      <c r="P64" s="1137">
        <f t="shared" si="29"/>
        <v>0</v>
      </c>
      <c r="Q64" s="1137">
        <f t="shared" si="29"/>
        <v>0</v>
      </c>
      <c r="R64" s="1137">
        <f t="shared" si="29"/>
        <v>0</v>
      </c>
      <c r="S64" s="1137">
        <f t="shared" si="29"/>
        <v>0</v>
      </c>
      <c r="T64" s="1137">
        <f t="shared" si="29"/>
        <v>0</v>
      </c>
      <c r="U64" s="1135" t="e">
        <f t="shared" si="3"/>
        <v>#DIV/0!</v>
      </c>
      <c r="V64" s="565"/>
      <c r="W64" s="28"/>
      <c r="X64" s="28"/>
      <c r="Y64" s="1113" t="s">
        <v>1136</v>
      </c>
    </row>
    <row r="65" spans="1:25" ht="22.5" customHeight="1" thickTop="1" thickBot="1" x14ac:dyDescent="0.3">
      <c r="A65" s="28">
        <v>1</v>
      </c>
      <c r="B65" s="28" t="s">
        <v>129</v>
      </c>
      <c r="C65" s="91" t="s">
        <v>134</v>
      </c>
      <c r="D65" s="91" t="s">
        <v>134</v>
      </c>
      <c r="E65" s="28" t="s">
        <v>134</v>
      </c>
      <c r="F65" s="91" t="s">
        <v>144</v>
      </c>
      <c r="G65" s="565" t="s">
        <v>129</v>
      </c>
      <c r="H65" s="91"/>
      <c r="I65" s="91"/>
      <c r="J65" s="88" t="s">
        <v>1208</v>
      </c>
      <c r="K65" s="30"/>
      <c r="L65" s="30"/>
      <c r="M65" s="30"/>
      <c r="N65" s="30">
        <f t="shared" si="0"/>
        <v>0</v>
      </c>
      <c r="O65" s="30"/>
      <c r="P65" s="30"/>
      <c r="Q65" s="30"/>
      <c r="R65" s="30"/>
      <c r="S65" s="30"/>
      <c r="T65" s="30"/>
      <c r="U65" s="92" t="e">
        <f t="shared" si="3"/>
        <v>#DIV/0!</v>
      </c>
      <c r="V65" s="565"/>
      <c r="W65" s="28"/>
      <c r="X65" s="28"/>
      <c r="Y65" s="1113" t="s">
        <v>1136</v>
      </c>
    </row>
    <row r="66" spans="1:25" ht="22.5" customHeight="1" thickTop="1" thickBot="1" x14ac:dyDescent="0.3">
      <c r="A66" s="28">
        <v>1</v>
      </c>
      <c r="B66" s="28" t="s">
        <v>129</v>
      </c>
      <c r="C66" s="91" t="s">
        <v>134</v>
      </c>
      <c r="D66" s="91" t="s">
        <v>134</v>
      </c>
      <c r="E66" s="28" t="s">
        <v>134</v>
      </c>
      <c r="F66" s="91" t="s">
        <v>144</v>
      </c>
      <c r="G66" s="565" t="s">
        <v>134</v>
      </c>
      <c r="H66" s="91"/>
      <c r="I66" s="91"/>
      <c r="J66" s="88" t="s">
        <v>1209</v>
      </c>
      <c r="K66" s="30"/>
      <c r="L66" s="30"/>
      <c r="M66" s="30"/>
      <c r="N66" s="30">
        <f t="shared" si="0"/>
        <v>0</v>
      </c>
      <c r="O66" s="30"/>
      <c r="P66" s="30"/>
      <c r="Q66" s="30"/>
      <c r="R66" s="30"/>
      <c r="S66" s="30"/>
      <c r="T66" s="30"/>
      <c r="U66" s="92" t="e">
        <f t="shared" si="3"/>
        <v>#DIV/0!</v>
      </c>
      <c r="V66" s="565"/>
      <c r="W66" s="28"/>
      <c r="X66" s="28"/>
      <c r="Y66" s="1113" t="s">
        <v>1136</v>
      </c>
    </row>
    <row r="67" spans="1:25" ht="22.5" customHeight="1" thickTop="1" thickBot="1" x14ac:dyDescent="0.3">
      <c r="A67" s="28">
        <v>1</v>
      </c>
      <c r="B67" s="28" t="s">
        <v>129</v>
      </c>
      <c r="C67" s="91" t="s">
        <v>134</v>
      </c>
      <c r="D67" s="91" t="s">
        <v>134</v>
      </c>
      <c r="E67" s="28" t="s">
        <v>134</v>
      </c>
      <c r="F67" s="565" t="s">
        <v>145</v>
      </c>
      <c r="G67" s="91"/>
      <c r="H67" s="91"/>
      <c r="I67" s="91"/>
      <c r="J67" s="566" t="s">
        <v>1210</v>
      </c>
      <c r="K67" s="1137">
        <f>+K68+K69</f>
        <v>0</v>
      </c>
      <c r="L67" s="1137">
        <f>+L68+L69</f>
        <v>0</v>
      </c>
      <c r="M67" s="1137">
        <f>+M68+M69</f>
        <v>0</v>
      </c>
      <c r="N67" s="1137">
        <f t="shared" si="0"/>
        <v>0</v>
      </c>
      <c r="O67" s="1137">
        <f t="shared" ref="O67:T67" si="30">+O68+O69</f>
        <v>0</v>
      </c>
      <c r="P67" s="1137">
        <f t="shared" si="30"/>
        <v>0</v>
      </c>
      <c r="Q67" s="1137">
        <f t="shared" si="30"/>
        <v>0</v>
      </c>
      <c r="R67" s="1137">
        <f t="shared" si="30"/>
        <v>0</v>
      </c>
      <c r="S67" s="1137">
        <f t="shared" si="30"/>
        <v>0</v>
      </c>
      <c r="T67" s="1137">
        <f t="shared" si="30"/>
        <v>0</v>
      </c>
      <c r="U67" s="1135" t="e">
        <f t="shared" si="3"/>
        <v>#DIV/0!</v>
      </c>
      <c r="V67" s="565"/>
      <c r="W67" s="28"/>
      <c r="X67" s="28"/>
      <c r="Y67" s="1113" t="s">
        <v>1136</v>
      </c>
    </row>
    <row r="68" spans="1:25" ht="22.5" customHeight="1" thickTop="1" thickBot="1" x14ac:dyDescent="0.3">
      <c r="A68" s="28">
        <v>1</v>
      </c>
      <c r="B68" s="28" t="s">
        <v>129</v>
      </c>
      <c r="C68" s="91" t="s">
        <v>134</v>
      </c>
      <c r="D68" s="91" t="s">
        <v>134</v>
      </c>
      <c r="E68" s="28" t="s">
        <v>134</v>
      </c>
      <c r="F68" s="91" t="s">
        <v>145</v>
      </c>
      <c r="G68" s="565" t="s">
        <v>129</v>
      </c>
      <c r="H68" s="91"/>
      <c r="I68" s="91"/>
      <c r="J68" s="88" t="s">
        <v>1211</v>
      </c>
      <c r="K68" s="30"/>
      <c r="L68" s="30"/>
      <c r="M68" s="30"/>
      <c r="N68" s="30">
        <f t="shared" si="0"/>
        <v>0</v>
      </c>
      <c r="O68" s="30"/>
      <c r="P68" s="30"/>
      <c r="Q68" s="30"/>
      <c r="R68" s="30"/>
      <c r="S68" s="30"/>
      <c r="T68" s="30"/>
      <c r="U68" s="92" t="e">
        <f t="shared" si="3"/>
        <v>#DIV/0!</v>
      </c>
      <c r="V68" s="565"/>
      <c r="W68" s="28"/>
      <c r="X68" s="28"/>
      <c r="Y68" s="1113" t="s">
        <v>1136</v>
      </c>
    </row>
    <row r="69" spans="1:25" ht="22.5" customHeight="1" thickTop="1" thickBot="1" x14ac:dyDescent="0.3">
      <c r="A69" s="28">
        <v>1</v>
      </c>
      <c r="B69" s="28" t="s">
        <v>129</v>
      </c>
      <c r="C69" s="91" t="s">
        <v>134</v>
      </c>
      <c r="D69" s="91" t="s">
        <v>134</v>
      </c>
      <c r="E69" s="28" t="s">
        <v>134</v>
      </c>
      <c r="F69" s="91" t="s">
        <v>145</v>
      </c>
      <c r="G69" s="565" t="s">
        <v>134</v>
      </c>
      <c r="H69" s="91"/>
      <c r="I69" s="91"/>
      <c r="J69" s="88" t="s">
        <v>1212</v>
      </c>
      <c r="K69" s="30"/>
      <c r="L69" s="30"/>
      <c r="M69" s="30"/>
      <c r="N69" s="30">
        <f t="shared" si="0"/>
        <v>0</v>
      </c>
      <c r="O69" s="30"/>
      <c r="P69" s="30"/>
      <c r="Q69" s="30"/>
      <c r="R69" s="30"/>
      <c r="S69" s="30"/>
      <c r="T69" s="30"/>
      <c r="U69" s="92" t="e">
        <f t="shared" si="3"/>
        <v>#DIV/0!</v>
      </c>
      <c r="V69" s="565"/>
      <c r="W69" s="28"/>
      <c r="X69" s="28"/>
      <c r="Y69" s="1113" t="s">
        <v>1136</v>
      </c>
    </row>
    <row r="70" spans="1:25" ht="22.5" customHeight="1" thickTop="1" thickBot="1" x14ac:dyDescent="0.3">
      <c r="A70" s="28">
        <v>1</v>
      </c>
      <c r="B70" s="28" t="s">
        <v>129</v>
      </c>
      <c r="C70" s="91" t="s">
        <v>134</v>
      </c>
      <c r="D70" s="91" t="s">
        <v>134</v>
      </c>
      <c r="E70" s="28" t="s">
        <v>134</v>
      </c>
      <c r="F70" s="565" t="s">
        <v>146</v>
      </c>
      <c r="G70" s="91"/>
      <c r="H70" s="91"/>
      <c r="I70" s="91"/>
      <c r="J70" s="566" t="s">
        <v>1213</v>
      </c>
      <c r="K70" s="1137">
        <f>+K71+K72</f>
        <v>0</v>
      </c>
      <c r="L70" s="1137">
        <f>+L71+L72</f>
        <v>0</v>
      </c>
      <c r="M70" s="1137">
        <f>+M71+M72</f>
        <v>0</v>
      </c>
      <c r="N70" s="1137">
        <f t="shared" si="0"/>
        <v>0</v>
      </c>
      <c r="O70" s="1137">
        <f t="shared" ref="O70:T70" si="31">+O71+O72</f>
        <v>0</v>
      </c>
      <c r="P70" s="1137">
        <f t="shared" si="31"/>
        <v>0</v>
      </c>
      <c r="Q70" s="1137">
        <f t="shared" si="31"/>
        <v>0</v>
      </c>
      <c r="R70" s="1137">
        <f t="shared" si="31"/>
        <v>0</v>
      </c>
      <c r="S70" s="1137">
        <f t="shared" si="31"/>
        <v>0</v>
      </c>
      <c r="T70" s="1137">
        <f t="shared" si="31"/>
        <v>0</v>
      </c>
      <c r="U70" s="1135" t="e">
        <f t="shared" si="3"/>
        <v>#DIV/0!</v>
      </c>
      <c r="V70" s="565"/>
      <c r="W70" s="28"/>
      <c r="X70" s="28"/>
      <c r="Y70" s="1113" t="s">
        <v>1136</v>
      </c>
    </row>
    <row r="71" spans="1:25" ht="22.5" customHeight="1" thickTop="1" thickBot="1" x14ac:dyDescent="0.3">
      <c r="A71" s="28">
        <v>1</v>
      </c>
      <c r="B71" s="28" t="s">
        <v>129</v>
      </c>
      <c r="C71" s="91" t="s">
        <v>134</v>
      </c>
      <c r="D71" s="91" t="s">
        <v>134</v>
      </c>
      <c r="E71" s="28" t="s">
        <v>134</v>
      </c>
      <c r="F71" s="91" t="s">
        <v>146</v>
      </c>
      <c r="G71" s="565" t="s">
        <v>129</v>
      </c>
      <c r="H71" s="91"/>
      <c r="I71" s="91"/>
      <c r="J71" s="88" t="s">
        <v>1214</v>
      </c>
      <c r="K71" s="30"/>
      <c r="L71" s="30"/>
      <c r="M71" s="30"/>
      <c r="N71" s="30">
        <f t="shared" ref="N71:N124" si="32">K71+L71-M71</f>
        <v>0</v>
      </c>
      <c r="O71" s="30"/>
      <c r="P71" s="30"/>
      <c r="Q71" s="30"/>
      <c r="R71" s="30"/>
      <c r="S71" s="30"/>
      <c r="T71" s="30"/>
      <c r="U71" s="92" t="e">
        <f t="shared" si="3"/>
        <v>#DIV/0!</v>
      </c>
      <c r="V71" s="565"/>
      <c r="W71" s="28"/>
      <c r="X71" s="28"/>
      <c r="Y71" s="1113" t="s">
        <v>1136</v>
      </c>
    </row>
    <row r="72" spans="1:25" ht="22.5" customHeight="1" thickTop="1" thickBot="1" x14ac:dyDescent="0.3">
      <c r="A72" s="28">
        <v>1</v>
      </c>
      <c r="B72" s="28" t="s">
        <v>129</v>
      </c>
      <c r="C72" s="91" t="s">
        <v>134</v>
      </c>
      <c r="D72" s="91" t="s">
        <v>134</v>
      </c>
      <c r="E72" s="28" t="s">
        <v>134</v>
      </c>
      <c r="F72" s="91" t="s">
        <v>146</v>
      </c>
      <c r="G72" s="565" t="s">
        <v>134</v>
      </c>
      <c r="H72" s="91"/>
      <c r="I72" s="91"/>
      <c r="J72" s="88" t="s">
        <v>1215</v>
      </c>
      <c r="K72" s="30"/>
      <c r="L72" s="30"/>
      <c r="M72" s="30"/>
      <c r="N72" s="30">
        <f t="shared" si="32"/>
        <v>0</v>
      </c>
      <c r="O72" s="30"/>
      <c r="P72" s="30"/>
      <c r="Q72" s="30"/>
      <c r="R72" s="30"/>
      <c r="S72" s="30"/>
      <c r="T72" s="30"/>
      <c r="U72" s="92" t="e">
        <f t="shared" ref="U72:U135" si="33">T72/S72</f>
        <v>#DIV/0!</v>
      </c>
      <c r="V72" s="565"/>
      <c r="W72" s="28"/>
      <c r="X72" s="28"/>
      <c r="Y72" s="1113" t="s">
        <v>1136</v>
      </c>
    </row>
    <row r="73" spans="1:25" ht="22.5" customHeight="1" thickTop="1" thickBot="1" x14ac:dyDescent="0.3">
      <c r="A73" s="28">
        <v>1</v>
      </c>
      <c r="B73" s="28" t="s">
        <v>129</v>
      </c>
      <c r="C73" s="91" t="s">
        <v>134</v>
      </c>
      <c r="D73" s="91" t="s">
        <v>134</v>
      </c>
      <c r="E73" s="28" t="s">
        <v>134</v>
      </c>
      <c r="F73" s="565" t="s">
        <v>147</v>
      </c>
      <c r="G73" s="91"/>
      <c r="H73" s="91"/>
      <c r="I73" s="91"/>
      <c r="J73" s="566" t="s">
        <v>1216</v>
      </c>
      <c r="K73" s="1137">
        <f>+K74+K75</f>
        <v>27114138</v>
      </c>
      <c r="L73" s="1137">
        <f>+L74+L75</f>
        <v>0</v>
      </c>
      <c r="M73" s="1137">
        <f>+M74+M75</f>
        <v>0</v>
      </c>
      <c r="N73" s="1137">
        <f t="shared" si="32"/>
        <v>27114138</v>
      </c>
      <c r="O73" s="1137">
        <f t="shared" ref="O73:T73" si="34">+O74+O75</f>
        <v>24402724.199999999</v>
      </c>
      <c r="P73" s="1137">
        <f t="shared" si="34"/>
        <v>0</v>
      </c>
      <c r="Q73" s="1137">
        <f t="shared" si="34"/>
        <v>2711413.8000000003</v>
      </c>
      <c r="R73" s="1137">
        <f t="shared" si="34"/>
        <v>0</v>
      </c>
      <c r="S73" s="1137">
        <f t="shared" si="34"/>
        <v>0</v>
      </c>
      <c r="T73" s="1137">
        <f t="shared" si="34"/>
        <v>52759348.5</v>
      </c>
      <c r="U73" s="1135" t="e">
        <f t="shared" si="33"/>
        <v>#DIV/0!</v>
      </c>
      <c r="V73" s="565"/>
      <c r="W73" s="28"/>
      <c r="X73" s="28"/>
      <c r="Y73" s="1113" t="s">
        <v>1136</v>
      </c>
    </row>
    <row r="74" spans="1:25" ht="22.5" customHeight="1" thickTop="1" thickBot="1" x14ac:dyDescent="0.3">
      <c r="A74" s="28">
        <v>1</v>
      </c>
      <c r="B74" s="28" t="s">
        <v>129</v>
      </c>
      <c r="C74" s="91" t="s">
        <v>134</v>
      </c>
      <c r="D74" s="91" t="s">
        <v>134</v>
      </c>
      <c r="E74" s="28" t="s">
        <v>134</v>
      </c>
      <c r="F74" s="91" t="s">
        <v>147</v>
      </c>
      <c r="G74" s="565" t="s">
        <v>129</v>
      </c>
      <c r="H74" s="91"/>
      <c r="I74" s="91"/>
      <c r="J74" s="88" t="s">
        <v>1217</v>
      </c>
      <c r="K74" s="30">
        <v>27114138</v>
      </c>
      <c r="L74" s="30"/>
      <c r="M74" s="30"/>
      <c r="N74" s="30">
        <f t="shared" si="32"/>
        <v>27114138</v>
      </c>
      <c r="O74" s="30">
        <f>+N74*0.9</f>
        <v>24402724.199999999</v>
      </c>
      <c r="P74" s="30"/>
      <c r="Q74" s="30">
        <f>+N74*0.1</f>
        <v>2711413.8000000003</v>
      </c>
      <c r="R74" s="30"/>
      <c r="S74" s="30"/>
      <c r="T74" s="30">
        <v>52759348.5</v>
      </c>
      <c r="U74" s="92" t="e">
        <f t="shared" si="33"/>
        <v>#DIV/0!</v>
      </c>
      <c r="V74" s="565"/>
      <c r="W74" s="28"/>
      <c r="X74" s="28"/>
      <c r="Y74" s="1113" t="s">
        <v>1136</v>
      </c>
    </row>
    <row r="75" spans="1:25" ht="22.5" customHeight="1" thickTop="1" thickBot="1" x14ac:dyDescent="0.3">
      <c r="A75" s="28">
        <v>1</v>
      </c>
      <c r="B75" s="28" t="s">
        <v>129</v>
      </c>
      <c r="C75" s="91" t="s">
        <v>134</v>
      </c>
      <c r="D75" s="91" t="s">
        <v>134</v>
      </c>
      <c r="E75" s="28" t="s">
        <v>134</v>
      </c>
      <c r="F75" s="91" t="s">
        <v>147</v>
      </c>
      <c r="G75" s="565" t="s">
        <v>134</v>
      </c>
      <c r="H75" s="91"/>
      <c r="I75" s="91"/>
      <c r="J75" s="88" t="s">
        <v>1218</v>
      </c>
      <c r="K75" s="30"/>
      <c r="L75" s="30"/>
      <c r="M75" s="30"/>
      <c r="N75" s="30">
        <f t="shared" si="32"/>
        <v>0</v>
      </c>
      <c r="O75" s="30"/>
      <c r="P75" s="30"/>
      <c r="Q75" s="30"/>
      <c r="R75" s="30"/>
      <c r="S75" s="30"/>
      <c r="T75" s="30"/>
      <c r="U75" s="92" t="e">
        <f t="shared" si="33"/>
        <v>#DIV/0!</v>
      </c>
      <c r="V75" s="565"/>
      <c r="W75" s="28"/>
      <c r="X75" s="28"/>
      <c r="Y75" s="1113" t="s">
        <v>1136</v>
      </c>
    </row>
    <row r="76" spans="1:25" ht="22.5" customHeight="1" thickTop="1" thickBot="1" x14ac:dyDescent="0.3">
      <c r="A76" s="1126" t="s">
        <v>127</v>
      </c>
      <c r="B76" s="1127" t="s">
        <v>129</v>
      </c>
      <c r="C76" s="1127" t="s">
        <v>134</v>
      </c>
      <c r="D76" s="1127" t="s">
        <v>139</v>
      </c>
      <c r="E76" s="1127"/>
      <c r="F76" s="1128"/>
      <c r="G76" s="1128"/>
      <c r="H76" s="1128"/>
      <c r="I76" s="1128"/>
      <c r="J76" s="1129" t="s">
        <v>148</v>
      </c>
      <c r="K76" s="1130">
        <f>+K77+K81</f>
        <v>186772373</v>
      </c>
      <c r="L76" s="1130">
        <f>+L77+L81</f>
        <v>0</v>
      </c>
      <c r="M76" s="1130">
        <f>+M77+M81</f>
        <v>0</v>
      </c>
      <c r="N76" s="1130">
        <f t="shared" si="32"/>
        <v>186772373</v>
      </c>
      <c r="O76" s="1130">
        <f t="shared" ref="O76:T76" si="35">+O77+O81</f>
        <v>168095135.70000002</v>
      </c>
      <c r="P76" s="1130">
        <f t="shared" si="35"/>
        <v>0</v>
      </c>
      <c r="Q76" s="1130">
        <f t="shared" si="35"/>
        <v>18677237.300000001</v>
      </c>
      <c r="R76" s="1130">
        <f t="shared" si="35"/>
        <v>0</v>
      </c>
      <c r="S76" s="1130">
        <f t="shared" si="35"/>
        <v>0</v>
      </c>
      <c r="T76" s="1130">
        <f t="shared" si="35"/>
        <v>72106781</v>
      </c>
      <c r="U76" s="1131" t="e">
        <f t="shared" si="33"/>
        <v>#DIV/0!</v>
      </c>
      <c r="V76" s="1127"/>
      <c r="W76" s="1126" t="s">
        <v>1219</v>
      </c>
      <c r="X76" s="1126" t="s">
        <v>1220</v>
      </c>
      <c r="Y76" s="1113" t="s">
        <v>1136</v>
      </c>
    </row>
    <row r="77" spans="1:25" s="1" customFormat="1" ht="22.5" customHeight="1" thickTop="1" thickBot="1" x14ac:dyDescent="0.3">
      <c r="A77" s="565" t="s">
        <v>127</v>
      </c>
      <c r="B77" s="565" t="s">
        <v>129</v>
      </c>
      <c r="C77" s="565" t="s">
        <v>134</v>
      </c>
      <c r="D77" s="565" t="s">
        <v>139</v>
      </c>
      <c r="E77" s="565" t="s">
        <v>129</v>
      </c>
      <c r="F77" s="565"/>
      <c r="G77" s="565"/>
      <c r="H77" s="91"/>
      <c r="I77" s="91"/>
      <c r="J77" s="566" t="s">
        <v>51</v>
      </c>
      <c r="K77" s="1137">
        <f t="shared" ref="K77:T77" si="36">+K78</f>
        <v>186772373</v>
      </c>
      <c r="L77" s="1137">
        <f>+L78</f>
        <v>0</v>
      </c>
      <c r="M77" s="1137">
        <f>+M78</f>
        <v>0</v>
      </c>
      <c r="N77" s="1137">
        <f t="shared" si="32"/>
        <v>186772373</v>
      </c>
      <c r="O77" s="1137">
        <f t="shared" si="36"/>
        <v>168095135.70000002</v>
      </c>
      <c r="P77" s="1137">
        <f t="shared" si="36"/>
        <v>0</v>
      </c>
      <c r="Q77" s="1137">
        <f t="shared" si="36"/>
        <v>18677237.300000001</v>
      </c>
      <c r="R77" s="1137">
        <f t="shared" si="36"/>
        <v>0</v>
      </c>
      <c r="S77" s="1137">
        <f t="shared" si="36"/>
        <v>0</v>
      </c>
      <c r="T77" s="1137">
        <f t="shared" si="36"/>
        <v>72106781</v>
      </c>
      <c r="U77" s="1135" t="e">
        <f t="shared" si="33"/>
        <v>#DIV/0!</v>
      </c>
      <c r="V77" s="564"/>
      <c r="W77" s="564" t="s">
        <v>1221</v>
      </c>
      <c r="X77" s="564" t="s">
        <v>1222</v>
      </c>
      <c r="Y77" s="1113" t="s">
        <v>1136</v>
      </c>
    </row>
    <row r="78" spans="1:25" ht="22.5" customHeight="1" thickTop="1" thickBot="1" x14ac:dyDescent="0.3">
      <c r="A78" s="28" t="s">
        <v>127</v>
      </c>
      <c r="B78" s="91" t="s">
        <v>129</v>
      </c>
      <c r="C78" s="91" t="s">
        <v>134</v>
      </c>
      <c r="D78" s="91" t="s">
        <v>139</v>
      </c>
      <c r="E78" s="91" t="s">
        <v>129</v>
      </c>
      <c r="F78" s="565" t="s">
        <v>129</v>
      </c>
      <c r="G78" s="91"/>
      <c r="H78" s="91"/>
      <c r="I78" s="91"/>
      <c r="J78" s="566" t="s">
        <v>149</v>
      </c>
      <c r="K78" s="1137">
        <f>+K79+K80</f>
        <v>186772373</v>
      </c>
      <c r="L78" s="1137">
        <f>+L79+L80</f>
        <v>0</v>
      </c>
      <c r="M78" s="1137">
        <f>+M79+M80</f>
        <v>0</v>
      </c>
      <c r="N78" s="1137">
        <f t="shared" si="32"/>
        <v>186772373</v>
      </c>
      <c r="O78" s="1137">
        <f t="shared" ref="O78:T78" si="37">+O79+O80</f>
        <v>168095135.70000002</v>
      </c>
      <c r="P78" s="1137">
        <f t="shared" si="37"/>
        <v>0</v>
      </c>
      <c r="Q78" s="1137">
        <f t="shared" si="37"/>
        <v>18677237.300000001</v>
      </c>
      <c r="R78" s="1137">
        <f t="shared" si="37"/>
        <v>0</v>
      </c>
      <c r="S78" s="1137">
        <f t="shared" si="37"/>
        <v>0</v>
      </c>
      <c r="T78" s="1137">
        <f t="shared" si="37"/>
        <v>72106781</v>
      </c>
      <c r="U78" s="1135" t="e">
        <f t="shared" si="33"/>
        <v>#DIV/0!</v>
      </c>
      <c r="V78" s="28"/>
      <c r="W78" s="28" t="s">
        <v>1223</v>
      </c>
      <c r="X78" s="28" t="s">
        <v>1224</v>
      </c>
      <c r="Y78" s="1113" t="s">
        <v>1136</v>
      </c>
    </row>
    <row r="79" spans="1:25" ht="22.5" customHeight="1" thickTop="1" thickBot="1" x14ac:dyDescent="0.3">
      <c r="A79" s="28" t="s">
        <v>127</v>
      </c>
      <c r="B79" s="91" t="s">
        <v>129</v>
      </c>
      <c r="C79" s="91" t="s">
        <v>134</v>
      </c>
      <c r="D79" s="91" t="s">
        <v>139</v>
      </c>
      <c r="E79" s="91" t="s">
        <v>129</v>
      </c>
      <c r="F79" s="91" t="s">
        <v>129</v>
      </c>
      <c r="G79" s="565" t="s">
        <v>129</v>
      </c>
      <c r="H79" s="91"/>
      <c r="I79" s="91"/>
      <c r="J79" s="88" t="s">
        <v>1225</v>
      </c>
      <c r="K79" s="30">
        <v>169793066</v>
      </c>
      <c r="L79" s="1137"/>
      <c r="M79" s="1137"/>
      <c r="N79" s="30">
        <f t="shared" si="32"/>
        <v>169793066</v>
      </c>
      <c r="O79" s="30">
        <f>+N79*0.9</f>
        <v>152813759.40000001</v>
      </c>
      <c r="P79" s="1137"/>
      <c r="Q79" s="30">
        <f>+N79*0.1</f>
        <v>16979306.600000001</v>
      </c>
      <c r="R79" s="1137"/>
      <c r="S79" s="1137"/>
      <c r="T79" s="1137">
        <v>51164444</v>
      </c>
      <c r="U79" s="1135" t="e">
        <f t="shared" si="33"/>
        <v>#DIV/0!</v>
      </c>
      <c r="V79" s="28"/>
      <c r="W79" s="28"/>
      <c r="X79" s="28"/>
      <c r="Y79" s="1113" t="s">
        <v>1136</v>
      </c>
    </row>
    <row r="80" spans="1:25" ht="22.5" customHeight="1" thickTop="1" thickBot="1" x14ac:dyDescent="0.3">
      <c r="A80" s="28" t="s">
        <v>127</v>
      </c>
      <c r="B80" s="91" t="s">
        <v>129</v>
      </c>
      <c r="C80" s="91" t="s">
        <v>134</v>
      </c>
      <c r="D80" s="91" t="s">
        <v>139</v>
      </c>
      <c r="E80" s="91" t="s">
        <v>129</v>
      </c>
      <c r="F80" s="91" t="s">
        <v>129</v>
      </c>
      <c r="G80" s="565" t="s">
        <v>134</v>
      </c>
      <c r="H80" s="91"/>
      <c r="I80" s="91"/>
      <c r="J80" s="88" t="s">
        <v>1226</v>
      </c>
      <c r="K80" s="30">
        <v>16979307</v>
      </c>
      <c r="L80" s="30"/>
      <c r="M80" s="30"/>
      <c r="N80" s="30">
        <f t="shared" si="32"/>
        <v>16979307</v>
      </c>
      <c r="O80" s="30">
        <f>+N80*0.9</f>
        <v>15281376.300000001</v>
      </c>
      <c r="P80" s="30"/>
      <c r="Q80" s="30">
        <f>+N80*0.1</f>
        <v>1697930.7000000002</v>
      </c>
      <c r="R80" s="30"/>
      <c r="S80" s="30"/>
      <c r="T80" s="30">
        <v>20942337</v>
      </c>
      <c r="U80" s="92" t="e">
        <f t="shared" si="33"/>
        <v>#DIV/0!</v>
      </c>
      <c r="V80" s="28"/>
      <c r="W80" s="28"/>
      <c r="X80" s="28"/>
      <c r="Y80" s="1113" t="s">
        <v>1136</v>
      </c>
    </row>
    <row r="81" spans="1:25" ht="22.5" customHeight="1" thickTop="1" thickBot="1" x14ac:dyDescent="0.3">
      <c r="A81" s="28" t="s">
        <v>127</v>
      </c>
      <c r="B81" s="91" t="s">
        <v>129</v>
      </c>
      <c r="C81" s="91" t="s">
        <v>134</v>
      </c>
      <c r="D81" s="91" t="s">
        <v>139</v>
      </c>
      <c r="E81" s="91" t="s">
        <v>129</v>
      </c>
      <c r="F81" s="565" t="s">
        <v>134</v>
      </c>
      <c r="G81" s="91"/>
      <c r="H81" s="91"/>
      <c r="I81" s="91"/>
      <c r="J81" s="566" t="s">
        <v>150</v>
      </c>
      <c r="K81" s="30">
        <f>+K82+K83</f>
        <v>0</v>
      </c>
      <c r="L81" s="30">
        <f>+L82+L83</f>
        <v>0</v>
      </c>
      <c r="M81" s="30">
        <f>+M82+M83</f>
        <v>0</v>
      </c>
      <c r="N81" s="30">
        <f t="shared" si="32"/>
        <v>0</v>
      </c>
      <c r="O81" s="30">
        <f t="shared" ref="O81:T81" si="38">+O82+O83</f>
        <v>0</v>
      </c>
      <c r="P81" s="30">
        <f t="shared" si="38"/>
        <v>0</v>
      </c>
      <c r="Q81" s="30">
        <f t="shared" si="38"/>
        <v>0</v>
      </c>
      <c r="R81" s="30">
        <f t="shared" si="38"/>
        <v>0</v>
      </c>
      <c r="S81" s="30">
        <f t="shared" si="38"/>
        <v>0</v>
      </c>
      <c r="T81" s="30">
        <f t="shared" si="38"/>
        <v>0</v>
      </c>
      <c r="U81" s="92" t="e">
        <f t="shared" si="33"/>
        <v>#DIV/0!</v>
      </c>
      <c r="V81" s="28"/>
      <c r="W81" s="28" t="s">
        <v>1227</v>
      </c>
      <c r="X81" s="28" t="s">
        <v>1228</v>
      </c>
      <c r="Y81" s="1113" t="s">
        <v>1136</v>
      </c>
    </row>
    <row r="82" spans="1:25" ht="22.5" customHeight="1" thickTop="1" thickBot="1" x14ac:dyDescent="0.3">
      <c r="A82" s="28" t="s">
        <v>127</v>
      </c>
      <c r="B82" s="91" t="s">
        <v>129</v>
      </c>
      <c r="C82" s="91" t="s">
        <v>134</v>
      </c>
      <c r="D82" s="91" t="s">
        <v>139</v>
      </c>
      <c r="E82" s="91" t="s">
        <v>129</v>
      </c>
      <c r="F82" s="91" t="s">
        <v>134</v>
      </c>
      <c r="G82" s="565" t="s">
        <v>129</v>
      </c>
      <c r="H82" s="91"/>
      <c r="I82" s="91"/>
      <c r="J82" s="88" t="s">
        <v>1229</v>
      </c>
      <c r="K82" s="30"/>
      <c r="L82" s="30"/>
      <c r="M82" s="30"/>
      <c r="N82" s="30">
        <f t="shared" si="32"/>
        <v>0</v>
      </c>
      <c r="O82" s="30"/>
      <c r="P82" s="30"/>
      <c r="Q82" s="30"/>
      <c r="R82" s="30"/>
      <c r="S82" s="30"/>
      <c r="T82" s="30"/>
      <c r="U82" s="92" t="e">
        <f t="shared" si="33"/>
        <v>#DIV/0!</v>
      </c>
      <c r="V82" s="28"/>
      <c r="W82" s="28"/>
      <c r="X82" s="28"/>
      <c r="Y82" s="1113" t="s">
        <v>1136</v>
      </c>
    </row>
    <row r="83" spans="1:25" ht="22.5" customHeight="1" thickTop="1" thickBot="1" x14ac:dyDescent="0.3">
      <c r="A83" s="28" t="s">
        <v>127</v>
      </c>
      <c r="B83" s="91" t="s">
        <v>129</v>
      </c>
      <c r="C83" s="91" t="s">
        <v>134</v>
      </c>
      <c r="D83" s="91" t="s">
        <v>139</v>
      </c>
      <c r="E83" s="91" t="s">
        <v>129</v>
      </c>
      <c r="F83" s="91" t="s">
        <v>134</v>
      </c>
      <c r="G83" s="565" t="s">
        <v>134</v>
      </c>
      <c r="H83" s="91"/>
      <c r="I83" s="91"/>
      <c r="J83" s="88" t="s">
        <v>1230</v>
      </c>
      <c r="K83" s="30"/>
      <c r="L83" s="30"/>
      <c r="M83" s="30"/>
      <c r="N83" s="30">
        <f t="shared" si="32"/>
        <v>0</v>
      </c>
      <c r="O83" s="30"/>
      <c r="P83" s="30"/>
      <c r="Q83" s="30"/>
      <c r="R83" s="30"/>
      <c r="S83" s="30"/>
      <c r="T83" s="30"/>
      <c r="U83" s="92" t="e">
        <f t="shared" si="33"/>
        <v>#DIV/0!</v>
      </c>
      <c r="V83" s="28"/>
      <c r="W83" s="28"/>
      <c r="X83" s="28"/>
      <c r="Y83" s="1113" t="s">
        <v>1136</v>
      </c>
    </row>
    <row r="84" spans="1:25" ht="22.5" customHeight="1" thickTop="1" thickBot="1" x14ac:dyDescent="0.3">
      <c r="A84" s="1126" t="s">
        <v>127</v>
      </c>
      <c r="B84" s="1127" t="s">
        <v>129</v>
      </c>
      <c r="C84" s="1127" t="s">
        <v>134</v>
      </c>
      <c r="D84" s="1127" t="s">
        <v>140</v>
      </c>
      <c r="E84" s="1127"/>
      <c r="F84" s="1128"/>
      <c r="G84" s="1128"/>
      <c r="H84" s="1128"/>
      <c r="I84" s="1128"/>
      <c r="J84" s="1129" t="s">
        <v>151</v>
      </c>
      <c r="K84" s="1136">
        <f>+K85+K97</f>
        <v>0</v>
      </c>
      <c r="L84" s="1136">
        <f>+L85+L97</f>
        <v>0</v>
      </c>
      <c r="M84" s="1136">
        <f>+M85+M97</f>
        <v>0</v>
      </c>
      <c r="N84" s="1136">
        <f t="shared" si="32"/>
        <v>0</v>
      </c>
      <c r="O84" s="1136">
        <f t="shared" ref="O84:T84" si="39">+O85+O97</f>
        <v>0</v>
      </c>
      <c r="P84" s="1136">
        <f t="shared" si="39"/>
        <v>0</v>
      </c>
      <c r="Q84" s="1136">
        <f t="shared" si="39"/>
        <v>0</v>
      </c>
      <c r="R84" s="1136">
        <f t="shared" si="39"/>
        <v>0</v>
      </c>
      <c r="S84" s="1136">
        <f>+S85+S97</f>
        <v>0</v>
      </c>
      <c r="T84" s="1136">
        <f t="shared" si="39"/>
        <v>0</v>
      </c>
      <c r="U84" s="1131" t="e">
        <f t="shared" si="33"/>
        <v>#DIV/0!</v>
      </c>
      <c r="V84" s="1127"/>
      <c r="W84" s="1126" t="s">
        <v>1192</v>
      </c>
      <c r="X84" s="1126" t="s">
        <v>1193</v>
      </c>
      <c r="Y84" s="1113" t="s">
        <v>1136</v>
      </c>
    </row>
    <row r="85" spans="1:25" s="1" customFormat="1" ht="22.5" customHeight="1" thickTop="1" thickBot="1" x14ac:dyDescent="0.3">
      <c r="A85" s="564" t="s">
        <v>127</v>
      </c>
      <c r="B85" s="564" t="s">
        <v>129</v>
      </c>
      <c r="C85" s="565" t="s">
        <v>134</v>
      </c>
      <c r="D85" s="565" t="s">
        <v>140</v>
      </c>
      <c r="E85" s="565" t="s">
        <v>129</v>
      </c>
      <c r="F85" s="565"/>
      <c r="G85" s="565"/>
      <c r="H85" s="91"/>
      <c r="I85" s="91"/>
      <c r="J85" s="566" t="s">
        <v>152</v>
      </c>
      <c r="K85" s="1137">
        <f>+K86+K94</f>
        <v>0</v>
      </c>
      <c r="L85" s="1137">
        <f>+L86+L94</f>
        <v>0</v>
      </c>
      <c r="M85" s="1137">
        <f>+M86+M94</f>
        <v>0</v>
      </c>
      <c r="N85" s="1137">
        <f t="shared" si="32"/>
        <v>0</v>
      </c>
      <c r="O85" s="1137">
        <f t="shared" ref="O85:T85" si="40">+O86+O94</f>
        <v>0</v>
      </c>
      <c r="P85" s="1137">
        <f t="shared" si="40"/>
        <v>0</v>
      </c>
      <c r="Q85" s="1137">
        <f t="shared" si="40"/>
        <v>0</v>
      </c>
      <c r="R85" s="1137">
        <f t="shared" si="40"/>
        <v>0</v>
      </c>
      <c r="S85" s="1137">
        <f>+S86+S94</f>
        <v>0</v>
      </c>
      <c r="T85" s="1137">
        <f t="shared" si="40"/>
        <v>0</v>
      </c>
      <c r="U85" s="1135" t="e">
        <f t="shared" si="33"/>
        <v>#DIV/0!</v>
      </c>
      <c r="V85" s="565"/>
      <c r="W85" s="564" t="s">
        <v>1231</v>
      </c>
      <c r="X85" s="564"/>
      <c r="Y85" s="1113" t="s">
        <v>1136</v>
      </c>
    </row>
    <row r="86" spans="1:25" s="1" customFormat="1" ht="22.5" customHeight="1" thickTop="1" thickBot="1" x14ac:dyDescent="0.3">
      <c r="A86" s="28" t="s">
        <v>127</v>
      </c>
      <c r="B86" s="28" t="s">
        <v>129</v>
      </c>
      <c r="C86" s="91" t="s">
        <v>134</v>
      </c>
      <c r="D86" s="91" t="s">
        <v>140</v>
      </c>
      <c r="E86" s="28" t="s">
        <v>129</v>
      </c>
      <c r="F86" s="565" t="s">
        <v>129</v>
      </c>
      <c r="G86" s="565"/>
      <c r="H86" s="91"/>
      <c r="I86" s="91"/>
      <c r="J86" s="566" t="s">
        <v>153</v>
      </c>
      <c r="K86" s="1137">
        <f>+K87</f>
        <v>0</v>
      </c>
      <c r="L86" s="1137">
        <f>+L87</f>
        <v>0</v>
      </c>
      <c r="M86" s="1137">
        <f>+M87</f>
        <v>0</v>
      </c>
      <c r="N86" s="1137">
        <f t="shared" si="32"/>
        <v>0</v>
      </c>
      <c r="O86" s="1137">
        <f t="shared" ref="O86:T86" si="41">+O87</f>
        <v>0</v>
      </c>
      <c r="P86" s="1137">
        <f t="shared" si="41"/>
        <v>0</v>
      </c>
      <c r="Q86" s="1137">
        <f t="shared" si="41"/>
        <v>0</v>
      </c>
      <c r="R86" s="1137">
        <f t="shared" si="41"/>
        <v>0</v>
      </c>
      <c r="S86" s="1137">
        <f>+S87</f>
        <v>0</v>
      </c>
      <c r="T86" s="1137">
        <f t="shared" si="41"/>
        <v>0</v>
      </c>
      <c r="U86" s="1135" t="e">
        <f t="shared" si="33"/>
        <v>#DIV/0!</v>
      </c>
      <c r="V86" s="565"/>
      <c r="W86" s="564"/>
      <c r="X86" s="564"/>
      <c r="Y86" s="1113"/>
    </row>
    <row r="87" spans="1:25" ht="22.5" customHeight="1" thickTop="1" thickBot="1" x14ac:dyDescent="0.3">
      <c r="A87" s="28" t="s">
        <v>127</v>
      </c>
      <c r="B87" s="28" t="s">
        <v>129</v>
      </c>
      <c r="C87" s="91" t="s">
        <v>134</v>
      </c>
      <c r="D87" s="91" t="s">
        <v>140</v>
      </c>
      <c r="E87" s="28" t="s">
        <v>129</v>
      </c>
      <c r="F87" s="91" t="s">
        <v>129</v>
      </c>
      <c r="G87" s="565" t="s">
        <v>129</v>
      </c>
      <c r="H87" s="91"/>
      <c r="I87" s="91"/>
      <c r="J87" s="566" t="s">
        <v>1232</v>
      </c>
      <c r="K87" s="1137">
        <f>+K88+K91</f>
        <v>0</v>
      </c>
      <c r="L87" s="1137">
        <f>+L88+L91</f>
        <v>0</v>
      </c>
      <c r="M87" s="1137">
        <f>+M88+M91</f>
        <v>0</v>
      </c>
      <c r="N87" s="1137">
        <f t="shared" si="32"/>
        <v>0</v>
      </c>
      <c r="O87" s="1137">
        <f t="shared" ref="O87:T87" si="42">+O88+O91</f>
        <v>0</v>
      </c>
      <c r="P87" s="1137">
        <f t="shared" si="42"/>
        <v>0</v>
      </c>
      <c r="Q87" s="1137">
        <f t="shared" si="42"/>
        <v>0</v>
      </c>
      <c r="R87" s="1137">
        <f t="shared" si="42"/>
        <v>0</v>
      </c>
      <c r="S87" s="1137">
        <f>+S88+S91</f>
        <v>0</v>
      </c>
      <c r="T87" s="1137">
        <f t="shared" si="42"/>
        <v>0</v>
      </c>
      <c r="U87" s="1135" t="e">
        <f t="shared" si="33"/>
        <v>#DIV/0!</v>
      </c>
      <c r="V87" s="565"/>
      <c r="W87" s="28" t="s">
        <v>1195</v>
      </c>
      <c r="X87" s="28"/>
      <c r="Y87" s="1113" t="s">
        <v>1136</v>
      </c>
    </row>
    <row r="88" spans="1:25" ht="22.5" customHeight="1" thickTop="1" thickBot="1" x14ac:dyDescent="0.3">
      <c r="A88" s="28" t="s">
        <v>127</v>
      </c>
      <c r="B88" s="28" t="s">
        <v>129</v>
      </c>
      <c r="C88" s="91" t="s">
        <v>134</v>
      </c>
      <c r="D88" s="91" t="s">
        <v>140</v>
      </c>
      <c r="E88" s="28" t="s">
        <v>129</v>
      </c>
      <c r="F88" s="91" t="s">
        <v>129</v>
      </c>
      <c r="G88" s="91" t="s">
        <v>129</v>
      </c>
      <c r="H88" s="91" t="s">
        <v>129</v>
      </c>
      <c r="I88" s="91"/>
      <c r="J88" s="566" t="s">
        <v>1233</v>
      </c>
      <c r="K88" s="30">
        <f>+K89+K90</f>
        <v>0</v>
      </c>
      <c r="L88" s="30">
        <f>+L89+L90</f>
        <v>0</v>
      </c>
      <c r="M88" s="30">
        <f>+M89+M90</f>
        <v>0</v>
      </c>
      <c r="N88" s="30">
        <f t="shared" si="32"/>
        <v>0</v>
      </c>
      <c r="O88" s="30">
        <f t="shared" ref="O88:T88" si="43">+O89+O90</f>
        <v>0</v>
      </c>
      <c r="P88" s="30">
        <f t="shared" si="43"/>
        <v>0</v>
      </c>
      <c r="Q88" s="30">
        <f t="shared" si="43"/>
        <v>0</v>
      </c>
      <c r="R88" s="30">
        <f t="shared" si="43"/>
        <v>0</v>
      </c>
      <c r="S88" s="30">
        <f>+S89+S90</f>
        <v>0</v>
      </c>
      <c r="T88" s="30">
        <f t="shared" si="43"/>
        <v>0</v>
      </c>
      <c r="U88" s="1135" t="e">
        <f t="shared" si="33"/>
        <v>#DIV/0!</v>
      </c>
      <c r="V88" s="565"/>
      <c r="W88" s="28"/>
      <c r="X88" s="28"/>
      <c r="Y88" s="1113" t="s">
        <v>1136</v>
      </c>
    </row>
    <row r="89" spans="1:25" ht="22.5" customHeight="1" thickTop="1" thickBot="1" x14ac:dyDescent="0.3">
      <c r="A89" s="28" t="s">
        <v>127</v>
      </c>
      <c r="B89" s="28" t="s">
        <v>129</v>
      </c>
      <c r="C89" s="91" t="s">
        <v>134</v>
      </c>
      <c r="D89" s="91" t="s">
        <v>140</v>
      </c>
      <c r="E89" s="28" t="s">
        <v>129</v>
      </c>
      <c r="F89" s="91" t="s">
        <v>129</v>
      </c>
      <c r="G89" s="91" t="s">
        <v>129</v>
      </c>
      <c r="H89" s="91" t="s">
        <v>129</v>
      </c>
      <c r="I89" s="91" t="s">
        <v>129</v>
      </c>
      <c r="J89" s="88" t="s">
        <v>1234</v>
      </c>
      <c r="K89" s="30"/>
      <c r="L89" s="30"/>
      <c r="M89" s="30"/>
      <c r="N89" s="30">
        <f t="shared" si="32"/>
        <v>0</v>
      </c>
      <c r="O89" s="30"/>
      <c r="P89" s="30"/>
      <c r="Q89" s="30"/>
      <c r="R89" s="30"/>
      <c r="S89" s="30"/>
      <c r="T89" s="30"/>
      <c r="U89" s="92" t="e">
        <f t="shared" si="33"/>
        <v>#DIV/0!</v>
      </c>
      <c r="V89" s="565"/>
      <c r="W89" s="28"/>
      <c r="X89" s="28"/>
      <c r="Y89" s="1113"/>
    </row>
    <row r="90" spans="1:25" ht="22.5" customHeight="1" thickTop="1" thickBot="1" x14ac:dyDescent="0.3">
      <c r="A90" s="28" t="s">
        <v>127</v>
      </c>
      <c r="B90" s="28" t="s">
        <v>129</v>
      </c>
      <c r="C90" s="91" t="s">
        <v>134</v>
      </c>
      <c r="D90" s="91" t="s">
        <v>140</v>
      </c>
      <c r="E90" s="28" t="s">
        <v>129</v>
      </c>
      <c r="F90" s="91" t="s">
        <v>129</v>
      </c>
      <c r="G90" s="91" t="s">
        <v>129</v>
      </c>
      <c r="H90" s="91" t="s">
        <v>129</v>
      </c>
      <c r="I90" s="91" t="s">
        <v>134</v>
      </c>
      <c r="J90" s="88" t="s">
        <v>1235</v>
      </c>
      <c r="K90" s="30"/>
      <c r="L90" s="30"/>
      <c r="M90" s="30"/>
      <c r="N90" s="30">
        <f t="shared" si="32"/>
        <v>0</v>
      </c>
      <c r="O90" s="30"/>
      <c r="P90" s="30"/>
      <c r="Q90" s="30"/>
      <c r="R90" s="30"/>
      <c r="S90" s="30"/>
      <c r="T90" s="30"/>
      <c r="U90" s="92" t="e">
        <f t="shared" si="33"/>
        <v>#DIV/0!</v>
      </c>
      <c r="V90" s="565"/>
      <c r="W90" s="28"/>
      <c r="X90" s="28"/>
      <c r="Y90" s="1113"/>
    </row>
    <row r="91" spans="1:25" ht="22.5" customHeight="1" thickTop="1" thickBot="1" x14ac:dyDescent="0.3">
      <c r="A91" s="28" t="s">
        <v>127</v>
      </c>
      <c r="B91" s="28" t="s">
        <v>129</v>
      </c>
      <c r="C91" s="91" t="s">
        <v>134</v>
      </c>
      <c r="D91" s="91" t="s">
        <v>140</v>
      </c>
      <c r="E91" s="28" t="s">
        <v>129</v>
      </c>
      <c r="F91" s="91" t="s">
        <v>129</v>
      </c>
      <c r="G91" s="91" t="s">
        <v>129</v>
      </c>
      <c r="H91" s="91" t="s">
        <v>134</v>
      </c>
      <c r="I91" s="91"/>
      <c r="J91" s="566" t="s">
        <v>1236</v>
      </c>
      <c r="K91" s="30">
        <f>+K92+K93</f>
        <v>0</v>
      </c>
      <c r="L91" s="30">
        <f>+L92+L93</f>
        <v>0</v>
      </c>
      <c r="M91" s="30">
        <f>+M92+M93</f>
        <v>0</v>
      </c>
      <c r="N91" s="30">
        <f t="shared" si="32"/>
        <v>0</v>
      </c>
      <c r="O91" s="30">
        <f t="shared" ref="O91:T91" si="44">+O92+O93</f>
        <v>0</v>
      </c>
      <c r="P91" s="30">
        <f t="shared" si="44"/>
        <v>0</v>
      </c>
      <c r="Q91" s="30">
        <f t="shared" si="44"/>
        <v>0</v>
      </c>
      <c r="R91" s="30">
        <f t="shared" si="44"/>
        <v>0</v>
      </c>
      <c r="S91" s="30">
        <f>+S92+S93</f>
        <v>0</v>
      </c>
      <c r="T91" s="30">
        <f t="shared" si="44"/>
        <v>0</v>
      </c>
      <c r="U91" s="1135" t="e">
        <f t="shared" si="33"/>
        <v>#DIV/0!</v>
      </c>
      <c r="V91" s="565"/>
      <c r="W91" s="28"/>
      <c r="X91" s="28"/>
      <c r="Y91" s="1113" t="s">
        <v>1136</v>
      </c>
    </row>
    <row r="92" spans="1:25" ht="22.5" customHeight="1" thickTop="1" thickBot="1" x14ac:dyDescent="0.3">
      <c r="A92" s="28" t="s">
        <v>127</v>
      </c>
      <c r="B92" s="28" t="s">
        <v>129</v>
      </c>
      <c r="C92" s="91" t="s">
        <v>134</v>
      </c>
      <c r="D92" s="91" t="s">
        <v>140</v>
      </c>
      <c r="E92" s="28" t="s">
        <v>129</v>
      </c>
      <c r="F92" s="91" t="s">
        <v>129</v>
      </c>
      <c r="G92" s="91" t="s">
        <v>129</v>
      </c>
      <c r="H92" s="91" t="s">
        <v>134</v>
      </c>
      <c r="I92" s="91" t="s">
        <v>129</v>
      </c>
      <c r="J92" s="88" t="s">
        <v>1237</v>
      </c>
      <c r="K92" s="30"/>
      <c r="L92" s="30"/>
      <c r="M92" s="30"/>
      <c r="N92" s="30">
        <f t="shared" si="32"/>
        <v>0</v>
      </c>
      <c r="O92" s="30"/>
      <c r="P92" s="30"/>
      <c r="Q92" s="30"/>
      <c r="R92" s="30"/>
      <c r="S92" s="30"/>
      <c r="T92" s="30"/>
      <c r="U92" s="92" t="e">
        <f t="shared" si="33"/>
        <v>#DIV/0!</v>
      </c>
      <c r="V92" s="565"/>
      <c r="W92" s="28"/>
      <c r="X92" s="28"/>
      <c r="Y92" s="1113"/>
    </row>
    <row r="93" spans="1:25" ht="22.5" customHeight="1" thickTop="1" thickBot="1" x14ac:dyDescent="0.3">
      <c r="A93" s="28" t="s">
        <v>127</v>
      </c>
      <c r="B93" s="28" t="s">
        <v>129</v>
      </c>
      <c r="C93" s="91" t="s">
        <v>134</v>
      </c>
      <c r="D93" s="91" t="s">
        <v>140</v>
      </c>
      <c r="E93" s="28" t="s">
        <v>129</v>
      </c>
      <c r="F93" s="91" t="s">
        <v>129</v>
      </c>
      <c r="G93" s="91" t="s">
        <v>129</v>
      </c>
      <c r="H93" s="91" t="s">
        <v>134</v>
      </c>
      <c r="I93" s="91" t="s">
        <v>134</v>
      </c>
      <c r="J93" s="88" t="s">
        <v>1238</v>
      </c>
      <c r="K93" s="30"/>
      <c r="L93" s="30"/>
      <c r="M93" s="30"/>
      <c r="N93" s="30">
        <f t="shared" si="32"/>
        <v>0</v>
      </c>
      <c r="O93" s="30"/>
      <c r="P93" s="30"/>
      <c r="Q93" s="30"/>
      <c r="R93" s="30"/>
      <c r="S93" s="30"/>
      <c r="T93" s="30"/>
      <c r="U93" s="92" t="e">
        <f t="shared" si="33"/>
        <v>#DIV/0!</v>
      </c>
      <c r="V93" s="565"/>
      <c r="W93" s="28"/>
      <c r="X93" s="28"/>
      <c r="Y93" s="1113"/>
    </row>
    <row r="94" spans="1:25" ht="22.5" customHeight="1" thickTop="1" thickBot="1" x14ac:dyDescent="0.3">
      <c r="A94" s="28" t="s">
        <v>127</v>
      </c>
      <c r="B94" s="28" t="s">
        <v>129</v>
      </c>
      <c r="C94" s="91" t="s">
        <v>134</v>
      </c>
      <c r="D94" s="91" t="s">
        <v>140</v>
      </c>
      <c r="E94" s="28" t="s">
        <v>129</v>
      </c>
      <c r="F94" s="565" t="s">
        <v>134</v>
      </c>
      <c r="G94" s="91"/>
      <c r="H94" s="91"/>
      <c r="I94" s="91"/>
      <c r="J94" s="566" t="s">
        <v>1239</v>
      </c>
      <c r="K94" s="30">
        <f>+K95+K96</f>
        <v>0</v>
      </c>
      <c r="L94" s="30">
        <f>+L95+L96</f>
        <v>0</v>
      </c>
      <c r="M94" s="30">
        <f>+M95+M96</f>
        <v>0</v>
      </c>
      <c r="N94" s="30">
        <f t="shared" si="32"/>
        <v>0</v>
      </c>
      <c r="O94" s="30">
        <f t="shared" ref="O94:T94" si="45">+O95+O96</f>
        <v>0</v>
      </c>
      <c r="P94" s="30">
        <f t="shared" si="45"/>
        <v>0</v>
      </c>
      <c r="Q94" s="30">
        <f t="shared" si="45"/>
        <v>0</v>
      </c>
      <c r="R94" s="30">
        <f t="shared" si="45"/>
        <v>0</v>
      </c>
      <c r="S94" s="30">
        <f>+S95+S96</f>
        <v>0</v>
      </c>
      <c r="T94" s="30">
        <f t="shared" si="45"/>
        <v>0</v>
      </c>
      <c r="U94" s="1135" t="e">
        <f t="shared" si="33"/>
        <v>#DIV/0!</v>
      </c>
      <c r="V94" s="565"/>
      <c r="W94" s="28"/>
      <c r="X94" s="28"/>
      <c r="Y94" s="1113"/>
    </row>
    <row r="95" spans="1:25" ht="22.5" customHeight="1" thickTop="1" thickBot="1" x14ac:dyDescent="0.3">
      <c r="A95" s="28" t="s">
        <v>127</v>
      </c>
      <c r="B95" s="28" t="s">
        <v>129</v>
      </c>
      <c r="C95" s="91" t="s">
        <v>134</v>
      </c>
      <c r="D95" s="91" t="s">
        <v>140</v>
      </c>
      <c r="E95" s="28" t="s">
        <v>129</v>
      </c>
      <c r="F95" s="91" t="s">
        <v>134</v>
      </c>
      <c r="G95" s="565" t="s">
        <v>129</v>
      </c>
      <c r="H95" s="91"/>
      <c r="I95" s="91"/>
      <c r="J95" s="88" t="s">
        <v>1240</v>
      </c>
      <c r="K95" s="30"/>
      <c r="L95" s="30"/>
      <c r="M95" s="30"/>
      <c r="N95" s="30">
        <f t="shared" si="32"/>
        <v>0</v>
      </c>
      <c r="O95" s="30"/>
      <c r="P95" s="30"/>
      <c r="Q95" s="30"/>
      <c r="R95" s="30"/>
      <c r="S95" s="30"/>
      <c r="T95" s="30"/>
      <c r="U95" s="92" t="e">
        <f t="shared" si="33"/>
        <v>#DIV/0!</v>
      </c>
      <c r="V95" s="565"/>
      <c r="W95" s="28"/>
      <c r="X95" s="28"/>
      <c r="Y95" s="1113"/>
    </row>
    <row r="96" spans="1:25" ht="22.5" customHeight="1" thickTop="1" thickBot="1" x14ac:dyDescent="0.3">
      <c r="A96" s="28" t="s">
        <v>127</v>
      </c>
      <c r="B96" s="28" t="s">
        <v>129</v>
      </c>
      <c r="C96" s="91" t="s">
        <v>134</v>
      </c>
      <c r="D96" s="91" t="s">
        <v>140</v>
      </c>
      <c r="E96" s="28" t="s">
        <v>129</v>
      </c>
      <c r="F96" s="91" t="s">
        <v>134</v>
      </c>
      <c r="G96" s="565" t="s">
        <v>134</v>
      </c>
      <c r="H96" s="91"/>
      <c r="I96" s="91"/>
      <c r="J96" s="88" t="s">
        <v>1241</v>
      </c>
      <c r="K96" s="30"/>
      <c r="L96" s="30"/>
      <c r="M96" s="30"/>
      <c r="N96" s="30">
        <f t="shared" si="32"/>
        <v>0</v>
      </c>
      <c r="O96" s="30"/>
      <c r="P96" s="30"/>
      <c r="Q96" s="30"/>
      <c r="R96" s="30"/>
      <c r="S96" s="30"/>
      <c r="T96" s="30"/>
      <c r="U96" s="92" t="e">
        <f t="shared" si="33"/>
        <v>#DIV/0!</v>
      </c>
      <c r="V96" s="565"/>
      <c r="W96" s="28"/>
      <c r="X96" s="28"/>
      <c r="Y96" s="1113"/>
    </row>
    <row r="97" spans="1:25" s="1" customFormat="1" ht="22.5" customHeight="1" thickTop="1" thickBot="1" x14ac:dyDescent="0.3">
      <c r="A97" s="564" t="s">
        <v>127</v>
      </c>
      <c r="B97" s="564" t="s">
        <v>129</v>
      </c>
      <c r="C97" s="565" t="s">
        <v>134</v>
      </c>
      <c r="D97" s="565" t="s">
        <v>140</v>
      </c>
      <c r="E97" s="565" t="s">
        <v>134</v>
      </c>
      <c r="F97" s="565"/>
      <c r="G97" s="565"/>
      <c r="H97" s="91"/>
      <c r="I97" s="91"/>
      <c r="J97" s="566" t="s">
        <v>1242</v>
      </c>
      <c r="K97" s="1138">
        <f>+K98+K101+K104+K107</f>
        <v>0</v>
      </c>
      <c r="L97" s="1138">
        <f>+L98+L101+L104+L107</f>
        <v>0</v>
      </c>
      <c r="M97" s="1138">
        <f>+M98+M101+M104+M107</f>
        <v>0</v>
      </c>
      <c r="N97" s="1138">
        <f t="shared" si="32"/>
        <v>0</v>
      </c>
      <c r="O97" s="1138">
        <f t="shared" ref="O97:T97" si="46">+O98+O101+O104+O107</f>
        <v>0</v>
      </c>
      <c r="P97" s="1138">
        <f t="shared" si="46"/>
        <v>0</v>
      </c>
      <c r="Q97" s="1138">
        <f t="shared" si="46"/>
        <v>0</v>
      </c>
      <c r="R97" s="1138">
        <f t="shared" si="46"/>
        <v>0</v>
      </c>
      <c r="S97" s="1138">
        <f>+S98+S101+S104+S107</f>
        <v>0</v>
      </c>
      <c r="T97" s="1138">
        <f t="shared" si="46"/>
        <v>0</v>
      </c>
      <c r="U97" s="1133" t="e">
        <f t="shared" si="33"/>
        <v>#DIV/0!</v>
      </c>
      <c r="V97" s="565"/>
      <c r="W97" s="564" t="s">
        <v>1243</v>
      </c>
      <c r="X97" s="564"/>
      <c r="Y97" s="1113" t="s">
        <v>1136</v>
      </c>
    </row>
    <row r="98" spans="1:25" ht="22.5" customHeight="1" thickTop="1" thickBot="1" x14ac:dyDescent="0.3">
      <c r="A98" s="91" t="s">
        <v>127</v>
      </c>
      <c r="B98" s="28" t="s">
        <v>129</v>
      </c>
      <c r="C98" s="91" t="s">
        <v>134</v>
      </c>
      <c r="D98" s="91" t="s">
        <v>140</v>
      </c>
      <c r="E98" s="91" t="s">
        <v>134</v>
      </c>
      <c r="F98" s="565" t="s">
        <v>129</v>
      </c>
      <c r="G98" s="91"/>
      <c r="H98" s="91"/>
      <c r="I98" s="91"/>
      <c r="J98" s="566" t="s">
        <v>154</v>
      </c>
      <c r="K98" s="1137">
        <f t="shared" ref="K98:T98" si="47">+K99+K100</f>
        <v>0</v>
      </c>
      <c r="L98" s="1137">
        <f>+L99+L100</f>
        <v>0</v>
      </c>
      <c r="M98" s="1137">
        <f>+M99+M100</f>
        <v>0</v>
      </c>
      <c r="N98" s="1137">
        <f t="shared" si="32"/>
        <v>0</v>
      </c>
      <c r="O98" s="1137">
        <f t="shared" si="47"/>
        <v>0</v>
      </c>
      <c r="P98" s="1137">
        <f t="shared" si="47"/>
        <v>0</v>
      </c>
      <c r="Q98" s="1137">
        <f t="shared" si="47"/>
        <v>0</v>
      </c>
      <c r="R98" s="1137">
        <f t="shared" si="47"/>
        <v>0</v>
      </c>
      <c r="S98" s="1137">
        <f t="shared" si="47"/>
        <v>0</v>
      </c>
      <c r="T98" s="1137">
        <f t="shared" si="47"/>
        <v>0</v>
      </c>
      <c r="U98" s="1135" t="e">
        <f t="shared" si="33"/>
        <v>#DIV/0!</v>
      </c>
      <c r="V98" s="565"/>
      <c r="W98" s="28" t="s">
        <v>1244</v>
      </c>
      <c r="X98" s="28" t="s">
        <v>1245</v>
      </c>
      <c r="Y98" s="1113" t="s">
        <v>1136</v>
      </c>
    </row>
    <row r="99" spans="1:25" ht="22.5" customHeight="1" thickTop="1" thickBot="1" x14ac:dyDescent="0.3">
      <c r="A99" s="28" t="s">
        <v>127</v>
      </c>
      <c r="B99" s="28" t="s">
        <v>129</v>
      </c>
      <c r="C99" s="91" t="s">
        <v>134</v>
      </c>
      <c r="D99" s="91" t="s">
        <v>140</v>
      </c>
      <c r="E99" s="91" t="s">
        <v>134</v>
      </c>
      <c r="F99" s="91" t="s">
        <v>129</v>
      </c>
      <c r="G99" s="565" t="s">
        <v>129</v>
      </c>
      <c r="H99" s="91"/>
      <c r="I99" s="91"/>
      <c r="J99" s="88" t="s">
        <v>1246</v>
      </c>
      <c r="K99" s="30"/>
      <c r="L99" s="30"/>
      <c r="M99" s="30"/>
      <c r="N99" s="30">
        <f t="shared" si="32"/>
        <v>0</v>
      </c>
      <c r="O99" s="30"/>
      <c r="P99" s="30"/>
      <c r="Q99" s="30"/>
      <c r="R99" s="30"/>
      <c r="S99" s="30"/>
      <c r="T99" s="30"/>
      <c r="U99" s="92" t="e">
        <f t="shared" si="33"/>
        <v>#DIV/0!</v>
      </c>
      <c r="V99" s="565"/>
      <c r="W99" s="28"/>
      <c r="X99" s="28"/>
      <c r="Y99" s="1113" t="s">
        <v>1136</v>
      </c>
    </row>
    <row r="100" spans="1:25" ht="22.5" customHeight="1" thickTop="1" thickBot="1" x14ac:dyDescent="0.3">
      <c r="A100" s="28" t="s">
        <v>127</v>
      </c>
      <c r="B100" s="28" t="s">
        <v>129</v>
      </c>
      <c r="C100" s="91" t="s">
        <v>134</v>
      </c>
      <c r="D100" s="91" t="s">
        <v>140</v>
      </c>
      <c r="E100" s="91" t="s">
        <v>134</v>
      </c>
      <c r="F100" s="91" t="s">
        <v>129</v>
      </c>
      <c r="G100" s="565" t="s">
        <v>134</v>
      </c>
      <c r="H100" s="91"/>
      <c r="I100" s="91"/>
      <c r="J100" s="88" t="s">
        <v>1247</v>
      </c>
      <c r="K100" s="30"/>
      <c r="L100" s="30"/>
      <c r="M100" s="30"/>
      <c r="N100" s="30">
        <f t="shared" si="32"/>
        <v>0</v>
      </c>
      <c r="O100" s="30"/>
      <c r="P100" s="30"/>
      <c r="Q100" s="30"/>
      <c r="R100" s="30"/>
      <c r="S100" s="30"/>
      <c r="T100" s="30"/>
      <c r="U100" s="92" t="e">
        <f t="shared" si="33"/>
        <v>#DIV/0!</v>
      </c>
      <c r="V100" s="565"/>
      <c r="W100" s="28"/>
      <c r="X100" s="28"/>
      <c r="Y100" s="1113" t="s">
        <v>1136</v>
      </c>
    </row>
    <row r="101" spans="1:25" ht="22.5" customHeight="1" thickTop="1" thickBot="1" x14ac:dyDescent="0.3">
      <c r="A101" s="28" t="s">
        <v>127</v>
      </c>
      <c r="B101" s="28" t="s">
        <v>129</v>
      </c>
      <c r="C101" s="91" t="s">
        <v>134</v>
      </c>
      <c r="D101" s="91" t="s">
        <v>140</v>
      </c>
      <c r="E101" s="91" t="s">
        <v>134</v>
      </c>
      <c r="F101" s="565" t="s">
        <v>134</v>
      </c>
      <c r="G101" s="91"/>
      <c r="H101" s="91"/>
      <c r="I101" s="91"/>
      <c r="J101" s="566" t="s">
        <v>1248</v>
      </c>
      <c r="K101" s="1137">
        <f t="shared" ref="K101:T101" si="48">+K102+K103</f>
        <v>0</v>
      </c>
      <c r="L101" s="1137">
        <f>+L102+L103</f>
        <v>0</v>
      </c>
      <c r="M101" s="1137">
        <f>+M102+M103</f>
        <v>0</v>
      </c>
      <c r="N101" s="1137">
        <f t="shared" si="32"/>
        <v>0</v>
      </c>
      <c r="O101" s="1137">
        <f t="shared" si="48"/>
        <v>0</v>
      </c>
      <c r="P101" s="1137">
        <f t="shared" si="48"/>
        <v>0</v>
      </c>
      <c r="Q101" s="1137">
        <f t="shared" si="48"/>
        <v>0</v>
      </c>
      <c r="R101" s="1137">
        <f t="shared" si="48"/>
        <v>0</v>
      </c>
      <c r="S101" s="1137">
        <f t="shared" si="48"/>
        <v>0</v>
      </c>
      <c r="T101" s="1137">
        <f t="shared" si="48"/>
        <v>0</v>
      </c>
      <c r="U101" s="1135" t="e">
        <f t="shared" si="33"/>
        <v>#DIV/0!</v>
      </c>
      <c r="V101" s="565"/>
      <c r="W101" s="28"/>
      <c r="X101" s="28"/>
      <c r="Y101" s="1113" t="s">
        <v>1136</v>
      </c>
    </row>
    <row r="102" spans="1:25" ht="22.5" customHeight="1" thickTop="1" thickBot="1" x14ac:dyDescent="0.3">
      <c r="A102" s="28" t="s">
        <v>127</v>
      </c>
      <c r="B102" s="28" t="s">
        <v>129</v>
      </c>
      <c r="C102" s="91" t="s">
        <v>134</v>
      </c>
      <c r="D102" s="91" t="s">
        <v>140</v>
      </c>
      <c r="E102" s="91" t="s">
        <v>134</v>
      </c>
      <c r="F102" s="91" t="s">
        <v>134</v>
      </c>
      <c r="G102" s="565" t="s">
        <v>129</v>
      </c>
      <c r="H102" s="91"/>
      <c r="I102" s="91"/>
      <c r="J102" s="88" t="s">
        <v>1249</v>
      </c>
      <c r="K102" s="30"/>
      <c r="L102" s="30"/>
      <c r="M102" s="30"/>
      <c r="N102" s="30">
        <f t="shared" si="32"/>
        <v>0</v>
      </c>
      <c r="O102" s="30"/>
      <c r="P102" s="30"/>
      <c r="Q102" s="30"/>
      <c r="R102" s="30"/>
      <c r="S102" s="30"/>
      <c r="T102" s="30"/>
      <c r="U102" s="92" t="e">
        <f t="shared" si="33"/>
        <v>#DIV/0!</v>
      </c>
      <c r="V102" s="565"/>
      <c r="W102" s="28"/>
      <c r="X102" s="28"/>
      <c r="Y102" s="1113" t="s">
        <v>1136</v>
      </c>
    </row>
    <row r="103" spans="1:25" ht="22.5" customHeight="1" thickTop="1" thickBot="1" x14ac:dyDescent="0.3">
      <c r="A103" s="28" t="s">
        <v>127</v>
      </c>
      <c r="B103" s="28" t="s">
        <v>129</v>
      </c>
      <c r="C103" s="91" t="s">
        <v>134</v>
      </c>
      <c r="D103" s="91" t="s">
        <v>140</v>
      </c>
      <c r="E103" s="91" t="s">
        <v>134</v>
      </c>
      <c r="F103" s="91" t="s">
        <v>134</v>
      </c>
      <c r="G103" s="565" t="s">
        <v>134</v>
      </c>
      <c r="H103" s="91"/>
      <c r="I103" s="91"/>
      <c r="J103" s="88" t="s">
        <v>1250</v>
      </c>
      <c r="K103" s="30"/>
      <c r="L103" s="30"/>
      <c r="M103" s="30"/>
      <c r="N103" s="30">
        <f t="shared" si="32"/>
        <v>0</v>
      </c>
      <c r="O103" s="30"/>
      <c r="P103" s="30"/>
      <c r="Q103" s="30"/>
      <c r="R103" s="30"/>
      <c r="S103" s="30"/>
      <c r="T103" s="30"/>
      <c r="U103" s="92" t="e">
        <f t="shared" si="33"/>
        <v>#DIV/0!</v>
      </c>
      <c r="V103" s="565"/>
      <c r="W103" s="28"/>
      <c r="X103" s="28"/>
      <c r="Y103" s="1113" t="s">
        <v>1136</v>
      </c>
    </row>
    <row r="104" spans="1:25" ht="22.5" customHeight="1" thickTop="1" thickBot="1" x14ac:dyDescent="0.3">
      <c r="A104" s="28" t="s">
        <v>127</v>
      </c>
      <c r="B104" s="28" t="s">
        <v>129</v>
      </c>
      <c r="C104" s="91" t="s">
        <v>134</v>
      </c>
      <c r="D104" s="91" t="s">
        <v>140</v>
      </c>
      <c r="E104" s="91" t="s">
        <v>134</v>
      </c>
      <c r="F104" s="565" t="s">
        <v>139</v>
      </c>
      <c r="G104" s="91"/>
      <c r="H104" s="91"/>
      <c r="I104" s="91"/>
      <c r="J104" s="566" t="s">
        <v>1251</v>
      </c>
      <c r="K104" s="1137">
        <f t="shared" ref="K104:T104" si="49">+K105+K106</f>
        <v>0</v>
      </c>
      <c r="L104" s="1137">
        <f>+L105+L106</f>
        <v>0</v>
      </c>
      <c r="M104" s="1137">
        <f>+M105+M106</f>
        <v>0</v>
      </c>
      <c r="N104" s="1137">
        <f t="shared" si="32"/>
        <v>0</v>
      </c>
      <c r="O104" s="1137">
        <f t="shared" si="49"/>
        <v>0</v>
      </c>
      <c r="P104" s="1137">
        <f t="shared" si="49"/>
        <v>0</v>
      </c>
      <c r="Q104" s="1137">
        <f t="shared" si="49"/>
        <v>0</v>
      </c>
      <c r="R104" s="1137">
        <f t="shared" si="49"/>
        <v>0</v>
      </c>
      <c r="S104" s="1137">
        <f t="shared" si="49"/>
        <v>0</v>
      </c>
      <c r="T104" s="1137">
        <f t="shared" si="49"/>
        <v>0</v>
      </c>
      <c r="U104" s="1135" t="e">
        <f t="shared" si="33"/>
        <v>#DIV/0!</v>
      </c>
      <c r="V104" s="565"/>
      <c r="W104" s="28"/>
      <c r="X104" s="28"/>
      <c r="Y104" s="1113" t="s">
        <v>1136</v>
      </c>
    </row>
    <row r="105" spans="1:25" ht="22.5" customHeight="1" thickTop="1" thickBot="1" x14ac:dyDescent="0.3">
      <c r="A105" s="28" t="s">
        <v>127</v>
      </c>
      <c r="B105" s="28" t="s">
        <v>129</v>
      </c>
      <c r="C105" s="91" t="s">
        <v>134</v>
      </c>
      <c r="D105" s="91" t="s">
        <v>140</v>
      </c>
      <c r="E105" s="91" t="s">
        <v>134</v>
      </c>
      <c r="F105" s="91" t="s">
        <v>139</v>
      </c>
      <c r="G105" s="565" t="s">
        <v>129</v>
      </c>
      <c r="H105" s="91"/>
      <c r="I105" s="91"/>
      <c r="J105" s="88" t="s">
        <v>1252</v>
      </c>
      <c r="K105" s="30"/>
      <c r="L105" s="30"/>
      <c r="M105" s="30"/>
      <c r="N105" s="30">
        <f t="shared" si="32"/>
        <v>0</v>
      </c>
      <c r="O105" s="30"/>
      <c r="P105" s="30"/>
      <c r="Q105" s="30"/>
      <c r="R105" s="30"/>
      <c r="S105" s="30"/>
      <c r="T105" s="30"/>
      <c r="U105" s="92" t="e">
        <f t="shared" si="33"/>
        <v>#DIV/0!</v>
      </c>
      <c r="V105" s="565"/>
      <c r="W105" s="28"/>
      <c r="X105" s="28"/>
      <c r="Y105" s="1113" t="s">
        <v>1136</v>
      </c>
    </row>
    <row r="106" spans="1:25" ht="22.5" customHeight="1" thickTop="1" thickBot="1" x14ac:dyDescent="0.3">
      <c r="A106" s="28" t="s">
        <v>127</v>
      </c>
      <c r="B106" s="28" t="s">
        <v>129</v>
      </c>
      <c r="C106" s="91" t="s">
        <v>134</v>
      </c>
      <c r="D106" s="91" t="s">
        <v>140</v>
      </c>
      <c r="E106" s="91" t="s">
        <v>134</v>
      </c>
      <c r="F106" s="91" t="s">
        <v>139</v>
      </c>
      <c r="G106" s="565" t="s">
        <v>134</v>
      </c>
      <c r="H106" s="91"/>
      <c r="I106" s="91"/>
      <c r="J106" s="88" t="s">
        <v>1253</v>
      </c>
      <c r="K106" s="30"/>
      <c r="L106" s="30"/>
      <c r="M106" s="30"/>
      <c r="N106" s="30">
        <f t="shared" si="32"/>
        <v>0</v>
      </c>
      <c r="O106" s="30"/>
      <c r="P106" s="30"/>
      <c r="Q106" s="30"/>
      <c r="R106" s="30"/>
      <c r="S106" s="30"/>
      <c r="T106" s="30"/>
      <c r="U106" s="92" t="e">
        <f t="shared" si="33"/>
        <v>#DIV/0!</v>
      </c>
      <c r="V106" s="565"/>
      <c r="W106" s="28"/>
      <c r="X106" s="28"/>
      <c r="Y106" s="1113" t="s">
        <v>1136</v>
      </c>
    </row>
    <row r="107" spans="1:25" ht="22.5" customHeight="1" thickTop="1" thickBot="1" x14ac:dyDescent="0.3">
      <c r="A107" s="28" t="s">
        <v>127</v>
      </c>
      <c r="B107" s="28" t="s">
        <v>129</v>
      </c>
      <c r="C107" s="91" t="s">
        <v>134</v>
      </c>
      <c r="D107" s="91" t="s">
        <v>140</v>
      </c>
      <c r="E107" s="91" t="s">
        <v>134</v>
      </c>
      <c r="F107" s="565" t="s">
        <v>140</v>
      </c>
      <c r="G107" s="91"/>
      <c r="H107" s="91"/>
      <c r="I107" s="91"/>
      <c r="J107" s="566" t="s">
        <v>1254</v>
      </c>
      <c r="K107" s="1137">
        <f t="shared" ref="K107:T107" si="50">+K108+K109</f>
        <v>0</v>
      </c>
      <c r="L107" s="1137">
        <f>+L108+L109</f>
        <v>0</v>
      </c>
      <c r="M107" s="1137">
        <f>+M108+M109</f>
        <v>0</v>
      </c>
      <c r="N107" s="1137">
        <f t="shared" si="32"/>
        <v>0</v>
      </c>
      <c r="O107" s="1137">
        <f t="shared" si="50"/>
        <v>0</v>
      </c>
      <c r="P107" s="1137">
        <f t="shared" si="50"/>
        <v>0</v>
      </c>
      <c r="Q107" s="1137">
        <f t="shared" si="50"/>
        <v>0</v>
      </c>
      <c r="R107" s="1137">
        <f t="shared" si="50"/>
        <v>0</v>
      </c>
      <c r="S107" s="1137">
        <f t="shared" si="50"/>
        <v>0</v>
      </c>
      <c r="T107" s="1137">
        <f t="shared" si="50"/>
        <v>0</v>
      </c>
      <c r="U107" s="1135" t="e">
        <f t="shared" si="33"/>
        <v>#DIV/0!</v>
      </c>
      <c r="V107" s="565"/>
      <c r="W107" s="28"/>
      <c r="X107" s="28"/>
      <c r="Y107" s="1113" t="s">
        <v>1136</v>
      </c>
    </row>
    <row r="108" spans="1:25" ht="22.5" customHeight="1" thickTop="1" thickBot="1" x14ac:dyDescent="0.3">
      <c r="A108" s="28" t="s">
        <v>127</v>
      </c>
      <c r="B108" s="28" t="s">
        <v>129</v>
      </c>
      <c r="C108" s="91" t="s">
        <v>134</v>
      </c>
      <c r="D108" s="91" t="s">
        <v>140</v>
      </c>
      <c r="E108" s="91" t="s">
        <v>134</v>
      </c>
      <c r="F108" s="91" t="s">
        <v>140</v>
      </c>
      <c r="G108" s="565" t="s">
        <v>129</v>
      </c>
      <c r="H108" s="91"/>
      <c r="I108" s="91"/>
      <c r="J108" s="88" t="s">
        <v>1255</v>
      </c>
      <c r="K108" s="30"/>
      <c r="L108" s="30"/>
      <c r="M108" s="30"/>
      <c r="N108" s="30">
        <f t="shared" si="32"/>
        <v>0</v>
      </c>
      <c r="O108" s="30"/>
      <c r="P108" s="30"/>
      <c r="Q108" s="30"/>
      <c r="R108" s="30"/>
      <c r="S108" s="30"/>
      <c r="T108" s="30"/>
      <c r="U108" s="92" t="e">
        <f t="shared" si="33"/>
        <v>#DIV/0!</v>
      </c>
      <c r="V108" s="565"/>
      <c r="W108" s="28"/>
      <c r="X108" s="28"/>
      <c r="Y108" s="1113" t="s">
        <v>1136</v>
      </c>
    </row>
    <row r="109" spans="1:25" ht="22.5" customHeight="1" thickTop="1" thickBot="1" x14ac:dyDescent="0.3">
      <c r="A109" s="28" t="s">
        <v>127</v>
      </c>
      <c r="B109" s="28" t="s">
        <v>129</v>
      </c>
      <c r="C109" s="91" t="s">
        <v>134</v>
      </c>
      <c r="D109" s="91" t="s">
        <v>140</v>
      </c>
      <c r="E109" s="91" t="s">
        <v>134</v>
      </c>
      <c r="F109" s="91" t="s">
        <v>140</v>
      </c>
      <c r="G109" s="565" t="s">
        <v>134</v>
      </c>
      <c r="H109" s="91"/>
      <c r="I109" s="91"/>
      <c r="J109" s="88" t="s">
        <v>1256</v>
      </c>
      <c r="K109" s="30"/>
      <c r="L109" s="30"/>
      <c r="M109" s="30"/>
      <c r="N109" s="30">
        <f t="shared" si="32"/>
        <v>0</v>
      </c>
      <c r="O109" s="30"/>
      <c r="P109" s="30"/>
      <c r="Q109" s="30"/>
      <c r="R109" s="30"/>
      <c r="S109" s="30"/>
      <c r="T109" s="30"/>
      <c r="U109" s="92" t="e">
        <f t="shared" si="33"/>
        <v>#DIV/0!</v>
      </c>
      <c r="V109" s="565"/>
      <c r="W109" s="28"/>
      <c r="X109" s="28"/>
      <c r="Y109" s="1113" t="s">
        <v>1136</v>
      </c>
    </row>
    <row r="110" spans="1:25" s="1" customFormat="1" ht="22.5" customHeight="1" thickTop="1" thickBot="1" x14ac:dyDescent="0.3">
      <c r="A110" s="1126" t="s">
        <v>127</v>
      </c>
      <c r="B110" s="1127" t="s">
        <v>129</v>
      </c>
      <c r="C110" s="1127" t="s">
        <v>134</v>
      </c>
      <c r="D110" s="1127" t="s">
        <v>144</v>
      </c>
      <c r="E110" s="1127"/>
      <c r="F110" s="1127"/>
      <c r="G110" s="1127"/>
      <c r="H110" s="1128"/>
      <c r="I110" s="1128"/>
      <c r="J110" s="1129" t="s">
        <v>155</v>
      </c>
      <c r="K110" s="1136">
        <f>+K111</f>
        <v>91588318453</v>
      </c>
      <c r="L110" s="1136">
        <f>+L111</f>
        <v>277639680</v>
      </c>
      <c r="M110" s="1136">
        <f>+M111</f>
        <v>0</v>
      </c>
      <c r="N110" s="1136">
        <f t="shared" si="32"/>
        <v>91865958133</v>
      </c>
      <c r="O110" s="1136">
        <f t="shared" ref="O110:T110" si="51">+O111</f>
        <v>2188639680</v>
      </c>
      <c r="P110" s="1136">
        <f t="shared" si="51"/>
        <v>81344249035.077393</v>
      </c>
      <c r="Q110" s="1136">
        <f t="shared" si="51"/>
        <v>0</v>
      </c>
      <c r="R110" s="1136">
        <f t="shared" si="51"/>
        <v>8333069417.9225998</v>
      </c>
      <c r="S110" s="1136">
        <f>+S111</f>
        <v>0</v>
      </c>
      <c r="T110" s="1136">
        <f t="shared" si="51"/>
        <v>79436872795.399994</v>
      </c>
      <c r="U110" s="1131" t="e">
        <f t="shared" si="33"/>
        <v>#DIV/0!</v>
      </c>
      <c r="V110" s="1127"/>
      <c r="W110" s="1127"/>
      <c r="X110" s="1127"/>
      <c r="Y110" s="1113" t="s">
        <v>1136</v>
      </c>
    </row>
    <row r="111" spans="1:25" s="1" customFormat="1" ht="22.5" customHeight="1" thickTop="1" thickBot="1" x14ac:dyDescent="0.3">
      <c r="A111" s="564" t="s">
        <v>127</v>
      </c>
      <c r="B111" s="564" t="s">
        <v>129</v>
      </c>
      <c r="C111" s="565" t="s">
        <v>134</v>
      </c>
      <c r="D111" s="565" t="s">
        <v>144</v>
      </c>
      <c r="E111" s="565" t="s">
        <v>129</v>
      </c>
      <c r="F111" s="565"/>
      <c r="G111" s="565"/>
      <c r="H111" s="91"/>
      <c r="I111" s="91"/>
      <c r="J111" s="566" t="s">
        <v>1257</v>
      </c>
      <c r="K111" s="1137">
        <f>K112</f>
        <v>91588318453</v>
      </c>
      <c r="L111" s="1137">
        <f t="shared" ref="L111:T111" si="52">L112</f>
        <v>277639680</v>
      </c>
      <c r="M111" s="1137">
        <f t="shared" si="52"/>
        <v>0</v>
      </c>
      <c r="N111" s="1137">
        <f t="shared" si="52"/>
        <v>91865958133</v>
      </c>
      <c r="O111" s="1137">
        <f t="shared" si="52"/>
        <v>2188639680</v>
      </c>
      <c r="P111" s="1137">
        <f t="shared" si="52"/>
        <v>81344249035.077393</v>
      </c>
      <c r="Q111" s="1137">
        <f t="shared" si="52"/>
        <v>0</v>
      </c>
      <c r="R111" s="1137">
        <f t="shared" si="52"/>
        <v>8333069417.9225998</v>
      </c>
      <c r="S111" s="1137">
        <f t="shared" si="52"/>
        <v>0</v>
      </c>
      <c r="T111" s="1137">
        <f t="shared" si="52"/>
        <v>79436872795.399994</v>
      </c>
      <c r="U111" s="1135" t="e">
        <f t="shared" si="33"/>
        <v>#DIV/0!</v>
      </c>
      <c r="V111" s="565"/>
      <c r="W111" s="564" t="s">
        <v>1258</v>
      </c>
      <c r="X111" s="564"/>
      <c r="Y111" s="1113" t="s">
        <v>1136</v>
      </c>
    </row>
    <row r="112" spans="1:25" ht="22.5" customHeight="1" thickTop="1" thickBot="1" x14ac:dyDescent="0.3">
      <c r="A112" s="28" t="s">
        <v>127</v>
      </c>
      <c r="B112" s="28" t="s">
        <v>129</v>
      </c>
      <c r="C112" s="91" t="s">
        <v>134</v>
      </c>
      <c r="D112" s="91" t="s">
        <v>144</v>
      </c>
      <c r="E112" s="28" t="s">
        <v>129</v>
      </c>
      <c r="F112" s="565" t="s">
        <v>129</v>
      </c>
      <c r="G112" s="91"/>
      <c r="H112" s="91"/>
      <c r="I112" s="91"/>
      <c r="J112" s="566" t="s">
        <v>1259</v>
      </c>
      <c r="K112" s="1137">
        <f>+K113+K116+K119+K122+K125</f>
        <v>91588318453</v>
      </c>
      <c r="L112" s="1137">
        <f>+L113+L116+L119+L122+L125</f>
        <v>277639680</v>
      </c>
      <c r="M112" s="1137">
        <f>+M113+M116+M119+M122+M125</f>
        <v>0</v>
      </c>
      <c r="N112" s="1137">
        <f t="shared" si="32"/>
        <v>91865958133</v>
      </c>
      <c r="O112" s="1137">
        <f t="shared" ref="O112:T112" si="53">+O113+O116+O119+O122+O125</f>
        <v>2188639680</v>
      </c>
      <c r="P112" s="1137">
        <f t="shared" si="53"/>
        <v>81344249035.077393</v>
      </c>
      <c r="Q112" s="1137">
        <f t="shared" si="53"/>
        <v>0</v>
      </c>
      <c r="R112" s="1137">
        <f t="shared" si="53"/>
        <v>8333069417.9225998</v>
      </c>
      <c r="S112" s="1137">
        <f>+S113+S116+S119+S122+S125</f>
        <v>0</v>
      </c>
      <c r="T112" s="1137">
        <f t="shared" si="53"/>
        <v>79436872795.399994</v>
      </c>
      <c r="U112" s="1135" t="e">
        <f t="shared" si="33"/>
        <v>#DIV/0!</v>
      </c>
      <c r="V112" s="565"/>
      <c r="W112" s="28" t="s">
        <v>1260</v>
      </c>
      <c r="X112" s="28"/>
      <c r="Y112" s="1113" t="s">
        <v>1136</v>
      </c>
    </row>
    <row r="113" spans="1:25" ht="22.5" customHeight="1" thickTop="1" thickBot="1" x14ac:dyDescent="0.3">
      <c r="A113" s="28" t="s">
        <v>127</v>
      </c>
      <c r="B113" s="28" t="s">
        <v>129</v>
      </c>
      <c r="C113" s="91" t="s">
        <v>134</v>
      </c>
      <c r="D113" s="91" t="s">
        <v>144</v>
      </c>
      <c r="E113" s="28" t="s">
        <v>129</v>
      </c>
      <c r="F113" s="28" t="s">
        <v>129</v>
      </c>
      <c r="G113" s="565" t="s">
        <v>129</v>
      </c>
      <c r="H113" s="91"/>
      <c r="I113" s="91"/>
      <c r="J113" s="566" t="s">
        <v>1261</v>
      </c>
      <c r="K113" s="1138">
        <f t="shared" ref="K113:T113" si="54">+K114+K115</f>
        <v>76661172198</v>
      </c>
      <c r="L113" s="1138">
        <f>+L114+L115</f>
        <v>0</v>
      </c>
      <c r="M113" s="1138">
        <f>+M114+M115</f>
        <v>0</v>
      </c>
      <c r="N113" s="1138">
        <f t="shared" si="32"/>
        <v>76661172198</v>
      </c>
      <c r="O113" s="1138">
        <f t="shared" si="54"/>
        <v>0</v>
      </c>
      <c r="P113" s="1137">
        <f t="shared" si="54"/>
        <v>68328102780.077393</v>
      </c>
      <c r="Q113" s="1138">
        <f t="shared" si="54"/>
        <v>0</v>
      </c>
      <c r="R113" s="1138">
        <f t="shared" si="54"/>
        <v>8333069417.9225998</v>
      </c>
      <c r="S113" s="1138">
        <f t="shared" si="54"/>
        <v>0</v>
      </c>
      <c r="T113" s="1138">
        <f t="shared" si="54"/>
        <v>64933097755</v>
      </c>
      <c r="U113" s="1133" t="e">
        <f t="shared" si="33"/>
        <v>#DIV/0!</v>
      </c>
      <c r="V113" s="565"/>
      <c r="W113" s="28" t="s">
        <v>1262</v>
      </c>
      <c r="X113" s="28" t="s">
        <v>1263</v>
      </c>
      <c r="Y113" s="1113" t="s">
        <v>1136</v>
      </c>
    </row>
    <row r="114" spans="1:25" ht="22.5" customHeight="1" thickTop="1" thickBot="1" x14ac:dyDescent="0.3">
      <c r="A114" s="28" t="s">
        <v>127</v>
      </c>
      <c r="B114" s="28" t="s">
        <v>129</v>
      </c>
      <c r="C114" s="91" t="s">
        <v>134</v>
      </c>
      <c r="D114" s="91" t="s">
        <v>144</v>
      </c>
      <c r="E114" s="28" t="s">
        <v>129</v>
      </c>
      <c r="F114" s="28" t="s">
        <v>129</v>
      </c>
      <c r="G114" s="91" t="s">
        <v>129</v>
      </c>
      <c r="H114" s="91" t="s">
        <v>129</v>
      </c>
      <c r="I114" s="91"/>
      <c r="J114" s="88" t="s">
        <v>1264</v>
      </c>
      <c r="K114" s="1139">
        <v>62364370166</v>
      </c>
      <c r="L114" s="1139"/>
      <c r="M114" s="1139"/>
      <c r="N114" s="1139">
        <f t="shared" si="32"/>
        <v>62364370166</v>
      </c>
      <c r="O114" s="1139"/>
      <c r="P114" s="30">
        <f>+N114*0.8913</f>
        <v>55585363128.955795</v>
      </c>
      <c r="Q114" s="1139"/>
      <c r="R114" s="1139">
        <f>+N114*0.1087</f>
        <v>6779007037.0441999</v>
      </c>
      <c r="S114" s="1139"/>
      <c r="T114" s="1139">
        <v>52797722339</v>
      </c>
      <c r="U114" s="1134" t="e">
        <f t="shared" si="33"/>
        <v>#DIV/0!</v>
      </c>
      <c r="V114" s="565"/>
      <c r="W114" s="28"/>
      <c r="X114" s="28"/>
      <c r="Y114" s="1113" t="s">
        <v>1136</v>
      </c>
    </row>
    <row r="115" spans="1:25" ht="22.5" customHeight="1" thickTop="1" thickBot="1" x14ac:dyDescent="0.3">
      <c r="A115" s="28" t="s">
        <v>127</v>
      </c>
      <c r="B115" s="28" t="s">
        <v>129</v>
      </c>
      <c r="C115" s="91" t="s">
        <v>134</v>
      </c>
      <c r="D115" s="91" t="s">
        <v>144</v>
      </c>
      <c r="E115" s="28" t="s">
        <v>129</v>
      </c>
      <c r="F115" s="28" t="s">
        <v>129</v>
      </c>
      <c r="G115" s="91" t="s">
        <v>129</v>
      </c>
      <c r="H115" s="91" t="s">
        <v>134</v>
      </c>
      <c r="I115" s="91"/>
      <c r="J115" s="88" t="s">
        <v>1265</v>
      </c>
      <c r="K115" s="1139">
        <v>14296802032</v>
      </c>
      <c r="L115" s="1139"/>
      <c r="M115" s="1139"/>
      <c r="N115" s="1139">
        <f t="shared" si="32"/>
        <v>14296802032</v>
      </c>
      <c r="O115" s="1139"/>
      <c r="P115" s="30">
        <f>+N115*0.8913</f>
        <v>12742739651.121599</v>
      </c>
      <c r="Q115" s="1139"/>
      <c r="R115" s="1139">
        <f>+N115*0.1087</f>
        <v>1554062380.8784001</v>
      </c>
      <c r="S115" s="1139"/>
      <c r="T115" s="1139">
        <v>12135375416</v>
      </c>
      <c r="U115" s="1134" t="e">
        <f t="shared" si="33"/>
        <v>#DIV/0!</v>
      </c>
      <c r="V115" s="565"/>
      <c r="W115" s="28"/>
      <c r="X115" s="28"/>
      <c r="Y115" s="1113" t="s">
        <v>1136</v>
      </c>
    </row>
    <row r="116" spans="1:25" ht="22.5" customHeight="1" thickTop="1" thickBot="1" x14ac:dyDescent="0.3">
      <c r="A116" s="28" t="s">
        <v>127</v>
      </c>
      <c r="B116" s="28" t="s">
        <v>129</v>
      </c>
      <c r="C116" s="91" t="s">
        <v>134</v>
      </c>
      <c r="D116" s="91" t="s">
        <v>144</v>
      </c>
      <c r="E116" s="28" t="s">
        <v>129</v>
      </c>
      <c r="F116" s="28" t="s">
        <v>129</v>
      </c>
      <c r="G116" s="565" t="s">
        <v>134</v>
      </c>
      <c r="H116" s="91"/>
      <c r="I116" s="91"/>
      <c r="J116" s="566" t="s">
        <v>1266</v>
      </c>
      <c r="K116" s="1138">
        <f t="shared" ref="K116:T116" si="55">+K117+K118</f>
        <v>13016146255</v>
      </c>
      <c r="L116" s="1138">
        <f>+L117+L118</f>
        <v>0</v>
      </c>
      <c r="M116" s="1138">
        <f>+M117+M118</f>
        <v>0</v>
      </c>
      <c r="N116" s="1138">
        <f t="shared" si="32"/>
        <v>13016146255</v>
      </c>
      <c r="O116" s="1138">
        <f t="shared" si="55"/>
        <v>0</v>
      </c>
      <c r="P116" s="1138">
        <f t="shared" si="55"/>
        <v>13016146255</v>
      </c>
      <c r="Q116" s="1138">
        <f t="shared" si="55"/>
        <v>0</v>
      </c>
      <c r="R116" s="1138">
        <f t="shared" si="55"/>
        <v>0</v>
      </c>
      <c r="S116" s="1138">
        <f t="shared" si="55"/>
        <v>0</v>
      </c>
      <c r="T116" s="1138">
        <f t="shared" si="55"/>
        <v>12325023360.4</v>
      </c>
      <c r="U116" s="1133" t="e">
        <f t="shared" si="33"/>
        <v>#DIV/0!</v>
      </c>
      <c r="V116" s="565"/>
      <c r="W116" s="28"/>
      <c r="X116" s="28"/>
      <c r="Y116" s="1113"/>
    </row>
    <row r="117" spans="1:25" ht="22.5" customHeight="1" thickTop="1" thickBot="1" x14ac:dyDescent="0.3">
      <c r="A117" s="28" t="s">
        <v>127</v>
      </c>
      <c r="B117" s="28" t="s">
        <v>129</v>
      </c>
      <c r="C117" s="91" t="s">
        <v>134</v>
      </c>
      <c r="D117" s="91" t="s">
        <v>144</v>
      </c>
      <c r="E117" s="28" t="s">
        <v>129</v>
      </c>
      <c r="F117" s="28" t="s">
        <v>129</v>
      </c>
      <c r="G117" s="91" t="s">
        <v>134</v>
      </c>
      <c r="H117" s="91" t="s">
        <v>129</v>
      </c>
      <c r="I117" s="91"/>
      <c r="J117" s="88" t="s">
        <v>1267</v>
      </c>
      <c r="K117" s="1139">
        <v>11093139316</v>
      </c>
      <c r="L117" s="1139"/>
      <c r="M117" s="1139"/>
      <c r="N117" s="1139">
        <f t="shared" si="32"/>
        <v>11093139316</v>
      </c>
      <c r="O117" s="1139"/>
      <c r="P117" s="30">
        <f>+N117</f>
        <v>11093139316</v>
      </c>
      <c r="Q117" s="1139"/>
      <c r="R117" s="1139"/>
      <c r="S117" s="1139"/>
      <c r="T117" s="1139">
        <v>9745903206.3999996</v>
      </c>
      <c r="U117" s="1134" t="e">
        <f t="shared" si="33"/>
        <v>#DIV/0!</v>
      </c>
      <c r="V117" s="565"/>
      <c r="W117" s="28"/>
      <c r="X117" s="28"/>
      <c r="Y117" s="1113"/>
    </row>
    <row r="118" spans="1:25" ht="22.5" customHeight="1" thickTop="1" thickBot="1" x14ac:dyDescent="0.3">
      <c r="A118" s="28" t="s">
        <v>127</v>
      </c>
      <c r="B118" s="28" t="s">
        <v>129</v>
      </c>
      <c r="C118" s="91" t="s">
        <v>134</v>
      </c>
      <c r="D118" s="91" t="s">
        <v>144</v>
      </c>
      <c r="E118" s="28" t="s">
        <v>129</v>
      </c>
      <c r="F118" s="28" t="s">
        <v>129</v>
      </c>
      <c r="G118" s="91" t="s">
        <v>134</v>
      </c>
      <c r="H118" s="91" t="s">
        <v>134</v>
      </c>
      <c r="I118" s="91"/>
      <c r="J118" s="88" t="s">
        <v>1268</v>
      </c>
      <c r="K118" s="1139">
        <v>1923006939</v>
      </c>
      <c r="L118" s="1139"/>
      <c r="M118" s="1139"/>
      <c r="N118" s="1139">
        <f t="shared" si="32"/>
        <v>1923006939</v>
      </c>
      <c r="O118" s="1139"/>
      <c r="P118" s="30">
        <f>+N118</f>
        <v>1923006939</v>
      </c>
      <c r="Q118" s="1139"/>
      <c r="R118" s="1139"/>
      <c r="S118" s="1139"/>
      <c r="T118" s="1139">
        <v>2579120154</v>
      </c>
      <c r="U118" s="1134" t="e">
        <f t="shared" si="33"/>
        <v>#DIV/0!</v>
      </c>
      <c r="V118" s="565"/>
      <c r="W118" s="28"/>
      <c r="X118" s="28"/>
      <c r="Y118" s="1113"/>
    </row>
    <row r="119" spans="1:25" ht="22.5" customHeight="1" thickTop="1" thickBot="1" x14ac:dyDescent="0.3">
      <c r="A119" s="28" t="s">
        <v>127</v>
      </c>
      <c r="B119" s="28" t="s">
        <v>129</v>
      </c>
      <c r="C119" s="91" t="s">
        <v>134</v>
      </c>
      <c r="D119" s="91" t="s">
        <v>144</v>
      </c>
      <c r="E119" s="28" t="s">
        <v>129</v>
      </c>
      <c r="F119" s="28" t="s">
        <v>129</v>
      </c>
      <c r="G119" s="565" t="s">
        <v>139</v>
      </c>
      <c r="H119" s="91"/>
      <c r="I119" s="91"/>
      <c r="J119" s="566" t="s">
        <v>1269</v>
      </c>
      <c r="K119" s="1138">
        <f t="shared" ref="K119:T119" si="56">+K120+K121</f>
        <v>0</v>
      </c>
      <c r="L119" s="1138">
        <f>+L120+L121</f>
        <v>0</v>
      </c>
      <c r="M119" s="1138">
        <f>+M120+M121</f>
        <v>0</v>
      </c>
      <c r="N119" s="1138">
        <f t="shared" si="32"/>
        <v>0</v>
      </c>
      <c r="O119" s="1138">
        <f t="shared" si="56"/>
        <v>0</v>
      </c>
      <c r="P119" s="1138">
        <f t="shared" si="56"/>
        <v>0</v>
      </c>
      <c r="Q119" s="1138">
        <f t="shared" si="56"/>
        <v>0</v>
      </c>
      <c r="R119" s="1138">
        <f t="shared" si="56"/>
        <v>0</v>
      </c>
      <c r="S119" s="1138">
        <f t="shared" si="56"/>
        <v>0</v>
      </c>
      <c r="T119" s="1138">
        <f t="shared" si="56"/>
        <v>0</v>
      </c>
      <c r="U119" s="1133" t="e">
        <f t="shared" si="33"/>
        <v>#DIV/0!</v>
      </c>
      <c r="V119" s="565"/>
      <c r="W119" s="28" t="s">
        <v>1147</v>
      </c>
      <c r="X119" s="28" t="s">
        <v>1148</v>
      </c>
      <c r="Y119" s="1113" t="s">
        <v>1136</v>
      </c>
    </row>
    <row r="120" spans="1:25" ht="22.5" customHeight="1" thickTop="1" thickBot="1" x14ac:dyDescent="0.3">
      <c r="A120" s="28" t="s">
        <v>127</v>
      </c>
      <c r="B120" s="28" t="s">
        <v>129</v>
      </c>
      <c r="C120" s="91" t="s">
        <v>134</v>
      </c>
      <c r="D120" s="91" t="s">
        <v>144</v>
      </c>
      <c r="E120" s="28" t="s">
        <v>129</v>
      </c>
      <c r="F120" s="28" t="s">
        <v>129</v>
      </c>
      <c r="G120" s="91" t="s">
        <v>139</v>
      </c>
      <c r="H120" s="91" t="s">
        <v>129</v>
      </c>
      <c r="I120" s="91"/>
      <c r="J120" s="88" t="s">
        <v>1270</v>
      </c>
      <c r="K120" s="1139"/>
      <c r="L120" s="1139"/>
      <c r="M120" s="1139"/>
      <c r="N120" s="1139">
        <f t="shared" si="32"/>
        <v>0</v>
      </c>
      <c r="O120" s="1139"/>
      <c r="P120" s="1139"/>
      <c r="Q120" s="1139"/>
      <c r="R120" s="1139"/>
      <c r="S120" s="1139"/>
      <c r="T120" s="1139"/>
      <c r="U120" s="1134" t="e">
        <f t="shared" si="33"/>
        <v>#DIV/0!</v>
      </c>
      <c r="V120" s="565"/>
      <c r="W120" s="28"/>
      <c r="X120" s="28"/>
      <c r="Y120" s="1113" t="s">
        <v>1136</v>
      </c>
    </row>
    <row r="121" spans="1:25" ht="22.5" customHeight="1" thickTop="1" thickBot="1" x14ac:dyDescent="0.3">
      <c r="A121" s="28" t="s">
        <v>127</v>
      </c>
      <c r="B121" s="28" t="s">
        <v>129</v>
      </c>
      <c r="C121" s="91" t="s">
        <v>134</v>
      </c>
      <c r="D121" s="91" t="s">
        <v>144</v>
      </c>
      <c r="E121" s="28" t="s">
        <v>129</v>
      </c>
      <c r="F121" s="28" t="s">
        <v>129</v>
      </c>
      <c r="G121" s="91" t="s">
        <v>139</v>
      </c>
      <c r="H121" s="91" t="s">
        <v>134</v>
      </c>
      <c r="I121" s="91"/>
      <c r="J121" s="88" t="s">
        <v>1271</v>
      </c>
      <c r="K121" s="1139"/>
      <c r="L121" s="1139"/>
      <c r="M121" s="1139"/>
      <c r="N121" s="1139">
        <f t="shared" si="32"/>
        <v>0</v>
      </c>
      <c r="O121" s="1139"/>
      <c r="P121" s="1139"/>
      <c r="Q121" s="1139"/>
      <c r="R121" s="1139"/>
      <c r="S121" s="1139"/>
      <c r="T121" s="1139"/>
      <c r="U121" s="1134" t="e">
        <f t="shared" si="33"/>
        <v>#DIV/0!</v>
      </c>
      <c r="V121" s="565"/>
      <c r="W121" s="28"/>
      <c r="X121" s="28"/>
      <c r="Y121" s="1113" t="s">
        <v>1136</v>
      </c>
    </row>
    <row r="122" spans="1:25" ht="22.5" customHeight="1" thickTop="1" thickBot="1" x14ac:dyDescent="0.3">
      <c r="A122" s="28" t="s">
        <v>127</v>
      </c>
      <c r="B122" s="28" t="s">
        <v>129</v>
      </c>
      <c r="C122" s="91" t="s">
        <v>134</v>
      </c>
      <c r="D122" s="91" t="s">
        <v>144</v>
      </c>
      <c r="E122" s="28" t="s">
        <v>129</v>
      </c>
      <c r="F122" s="28" t="s">
        <v>129</v>
      </c>
      <c r="G122" s="565" t="s">
        <v>140</v>
      </c>
      <c r="H122" s="91"/>
      <c r="I122" s="91"/>
      <c r="J122" s="566" t="s">
        <v>1272</v>
      </c>
      <c r="K122" s="1138">
        <f t="shared" ref="K122:T122" si="57">+K123+K124</f>
        <v>0</v>
      </c>
      <c r="L122" s="1138">
        <f>+L123+L124</f>
        <v>0</v>
      </c>
      <c r="M122" s="1138">
        <f>+M123+M124</f>
        <v>0</v>
      </c>
      <c r="N122" s="1138">
        <f t="shared" si="32"/>
        <v>0</v>
      </c>
      <c r="O122" s="1138">
        <f t="shared" si="57"/>
        <v>0</v>
      </c>
      <c r="P122" s="1138">
        <f t="shared" si="57"/>
        <v>0</v>
      </c>
      <c r="Q122" s="1138">
        <f t="shared" si="57"/>
        <v>0</v>
      </c>
      <c r="R122" s="1138">
        <f t="shared" si="57"/>
        <v>0</v>
      </c>
      <c r="S122" s="1138">
        <f t="shared" si="57"/>
        <v>0</v>
      </c>
      <c r="T122" s="1138">
        <f t="shared" si="57"/>
        <v>0</v>
      </c>
      <c r="U122" s="1133" t="e">
        <f t="shared" si="33"/>
        <v>#DIV/0!</v>
      </c>
      <c r="V122" s="565"/>
      <c r="W122" s="28"/>
      <c r="X122" s="28"/>
      <c r="Y122" s="1113"/>
    </row>
    <row r="123" spans="1:25" ht="22.5" customHeight="1" thickTop="1" thickBot="1" x14ac:dyDescent="0.3">
      <c r="A123" s="28" t="s">
        <v>127</v>
      </c>
      <c r="B123" s="28" t="s">
        <v>129</v>
      </c>
      <c r="C123" s="91" t="s">
        <v>134</v>
      </c>
      <c r="D123" s="91" t="s">
        <v>144</v>
      </c>
      <c r="E123" s="28" t="s">
        <v>129</v>
      </c>
      <c r="F123" s="28" t="s">
        <v>129</v>
      </c>
      <c r="G123" s="91" t="s">
        <v>140</v>
      </c>
      <c r="H123" s="91" t="s">
        <v>129</v>
      </c>
      <c r="I123" s="91"/>
      <c r="J123" s="88" t="s">
        <v>1273</v>
      </c>
      <c r="K123" s="1139"/>
      <c r="L123" s="1139"/>
      <c r="M123" s="1139"/>
      <c r="N123" s="1139">
        <f t="shared" si="32"/>
        <v>0</v>
      </c>
      <c r="O123" s="1139"/>
      <c r="P123" s="1139"/>
      <c r="Q123" s="1139"/>
      <c r="R123" s="1139"/>
      <c r="S123" s="1139"/>
      <c r="T123" s="1139"/>
      <c r="U123" s="1134" t="e">
        <f t="shared" si="33"/>
        <v>#DIV/0!</v>
      </c>
      <c r="V123" s="565"/>
      <c r="W123" s="28"/>
      <c r="X123" s="28"/>
      <c r="Y123" s="1113"/>
    </row>
    <row r="124" spans="1:25" ht="22.5" customHeight="1" thickTop="1" thickBot="1" x14ac:dyDescent="0.3">
      <c r="A124" s="28" t="s">
        <v>127</v>
      </c>
      <c r="B124" s="28" t="s">
        <v>129</v>
      </c>
      <c r="C124" s="91" t="s">
        <v>134</v>
      </c>
      <c r="D124" s="91" t="s">
        <v>144</v>
      </c>
      <c r="E124" s="28" t="s">
        <v>129</v>
      </c>
      <c r="F124" s="28" t="s">
        <v>129</v>
      </c>
      <c r="G124" s="91" t="s">
        <v>140</v>
      </c>
      <c r="H124" s="91" t="s">
        <v>134</v>
      </c>
      <c r="I124" s="91"/>
      <c r="J124" s="88" t="s">
        <v>1274</v>
      </c>
      <c r="K124" s="1139"/>
      <c r="L124" s="1139"/>
      <c r="M124" s="1139"/>
      <c r="N124" s="1139">
        <f t="shared" si="32"/>
        <v>0</v>
      </c>
      <c r="O124" s="1139"/>
      <c r="P124" s="1139"/>
      <c r="Q124" s="1139"/>
      <c r="R124" s="1139"/>
      <c r="S124" s="1139"/>
      <c r="T124" s="1139"/>
      <c r="U124" s="1134" t="e">
        <f t="shared" si="33"/>
        <v>#DIV/0!</v>
      </c>
      <c r="V124" s="565"/>
      <c r="W124" s="28"/>
      <c r="X124" s="28"/>
      <c r="Y124" s="1113"/>
    </row>
    <row r="125" spans="1:25" ht="22.5" customHeight="1" thickTop="1" thickBot="1" x14ac:dyDescent="0.3">
      <c r="A125" s="28" t="s">
        <v>127</v>
      </c>
      <c r="B125" s="565" t="s">
        <v>129</v>
      </c>
      <c r="C125" s="565" t="s">
        <v>134</v>
      </c>
      <c r="D125" s="565" t="s">
        <v>144</v>
      </c>
      <c r="E125" s="565" t="s">
        <v>129</v>
      </c>
      <c r="F125" s="565" t="s">
        <v>134</v>
      </c>
      <c r="G125" s="565" t="s">
        <v>144</v>
      </c>
      <c r="H125" s="91"/>
      <c r="I125" s="91"/>
      <c r="J125" s="566" t="s">
        <v>1275</v>
      </c>
      <c r="K125" s="1137">
        <f>+K126+K130+K134+K135+K136+K137</f>
        <v>1911000000</v>
      </c>
      <c r="L125" s="1137">
        <f>+L126+L130+L134+L135+L136+L137</f>
        <v>277639680</v>
      </c>
      <c r="M125" s="1137">
        <f>+M126+M130+M134+M135+M136+M137</f>
        <v>0</v>
      </c>
      <c r="N125" s="1137">
        <f>+N126+N130+N134+N135+N136+N137</f>
        <v>2188639680</v>
      </c>
      <c r="O125" s="1137">
        <f t="shared" ref="O125:T125" si="58">+O126+O130+O134+O135+O136+O137</f>
        <v>2188639680</v>
      </c>
      <c r="P125" s="1137">
        <f t="shared" si="58"/>
        <v>0</v>
      </c>
      <c r="Q125" s="1137">
        <f t="shared" si="58"/>
        <v>0</v>
      </c>
      <c r="R125" s="1137">
        <f t="shared" si="58"/>
        <v>0</v>
      </c>
      <c r="S125" s="1137">
        <f>+S126+S130+S134+S135+S136+S137</f>
        <v>0</v>
      </c>
      <c r="T125" s="1137">
        <f t="shared" si="58"/>
        <v>2178751680</v>
      </c>
      <c r="U125" s="1137" t="e">
        <f t="shared" si="33"/>
        <v>#DIV/0!</v>
      </c>
      <c r="V125" s="565"/>
      <c r="W125" s="565" t="s">
        <v>1276</v>
      </c>
      <c r="X125" s="565"/>
      <c r="Y125" s="1113" t="s">
        <v>1136</v>
      </c>
    </row>
    <row r="126" spans="1:25" ht="22.5" customHeight="1" thickTop="1" thickBot="1" x14ac:dyDescent="0.3">
      <c r="A126" s="28" t="s">
        <v>127</v>
      </c>
      <c r="B126" s="28" t="s">
        <v>129</v>
      </c>
      <c r="C126" s="91" t="s">
        <v>134</v>
      </c>
      <c r="D126" s="91" t="s">
        <v>144</v>
      </c>
      <c r="E126" s="28" t="s">
        <v>129</v>
      </c>
      <c r="F126" s="91" t="s">
        <v>134</v>
      </c>
      <c r="G126" s="91" t="s">
        <v>144</v>
      </c>
      <c r="H126" s="91" t="s">
        <v>129</v>
      </c>
      <c r="I126" s="91"/>
      <c r="J126" s="566" t="s">
        <v>1277</v>
      </c>
      <c r="K126" s="1138">
        <f t="shared" ref="K126:T126" si="59">+K127+K128+K129</f>
        <v>1911000000</v>
      </c>
      <c r="L126" s="1138">
        <f>+L127+L128+L129</f>
        <v>277639680</v>
      </c>
      <c r="M126" s="1138">
        <f>+M127+M128+M129</f>
        <v>0</v>
      </c>
      <c r="N126" s="1138">
        <f t="shared" ref="N126:N136" si="60">K126+L126-M126</f>
        <v>2188639680</v>
      </c>
      <c r="O126" s="1138">
        <f t="shared" si="59"/>
        <v>2188639680</v>
      </c>
      <c r="P126" s="1138">
        <f t="shared" si="59"/>
        <v>0</v>
      </c>
      <c r="Q126" s="1138">
        <f t="shared" si="59"/>
        <v>0</v>
      </c>
      <c r="R126" s="1138">
        <f t="shared" si="59"/>
        <v>0</v>
      </c>
      <c r="S126" s="1138">
        <f t="shared" si="59"/>
        <v>0</v>
      </c>
      <c r="T126" s="1138">
        <f t="shared" si="59"/>
        <v>2178751680</v>
      </c>
      <c r="U126" s="1133" t="e">
        <f t="shared" si="33"/>
        <v>#DIV/0!</v>
      </c>
      <c r="V126" s="565"/>
      <c r="W126" s="28"/>
      <c r="X126" s="28"/>
      <c r="Y126" s="1113" t="s">
        <v>1136</v>
      </c>
    </row>
    <row r="127" spans="1:25" ht="22.5" customHeight="1" thickTop="1" thickBot="1" x14ac:dyDescent="0.3">
      <c r="A127" s="28" t="s">
        <v>127</v>
      </c>
      <c r="B127" s="28" t="s">
        <v>129</v>
      </c>
      <c r="C127" s="91" t="s">
        <v>134</v>
      </c>
      <c r="D127" s="91" t="s">
        <v>144</v>
      </c>
      <c r="E127" s="28" t="s">
        <v>129</v>
      </c>
      <c r="F127" s="91" t="s">
        <v>134</v>
      </c>
      <c r="G127" s="91" t="s">
        <v>144</v>
      </c>
      <c r="H127" s="91" t="s">
        <v>129</v>
      </c>
      <c r="I127" s="91" t="s">
        <v>129</v>
      </c>
      <c r="J127" s="88" t="s">
        <v>156</v>
      </c>
      <c r="K127" s="1139">
        <v>1911000000</v>
      </c>
      <c r="L127" s="1139">
        <v>277639680</v>
      </c>
      <c r="M127" s="1139"/>
      <c r="N127" s="1139">
        <f t="shared" si="60"/>
        <v>2188639680</v>
      </c>
      <c r="O127" s="1139">
        <f>+N127</f>
        <v>2188639680</v>
      </c>
      <c r="P127" s="1139"/>
      <c r="Q127" s="1139"/>
      <c r="R127" s="1139"/>
      <c r="S127" s="1139"/>
      <c r="T127" s="1139">
        <v>2178751680</v>
      </c>
      <c r="U127" s="1134" t="e">
        <f t="shared" si="33"/>
        <v>#DIV/0!</v>
      </c>
      <c r="V127" s="565"/>
      <c r="W127" s="28"/>
      <c r="X127" s="28"/>
      <c r="Y127" s="1113" t="s">
        <v>1136</v>
      </c>
    </row>
    <row r="128" spans="1:25" ht="22.5" customHeight="1" thickTop="1" thickBot="1" x14ac:dyDescent="0.3">
      <c r="A128" s="28" t="s">
        <v>127</v>
      </c>
      <c r="B128" s="28" t="s">
        <v>129</v>
      </c>
      <c r="C128" s="91" t="s">
        <v>134</v>
      </c>
      <c r="D128" s="91" t="s">
        <v>144</v>
      </c>
      <c r="E128" s="28" t="s">
        <v>129</v>
      </c>
      <c r="F128" s="91" t="s">
        <v>134</v>
      </c>
      <c r="G128" s="91" t="s">
        <v>144</v>
      </c>
      <c r="H128" s="91" t="s">
        <v>129</v>
      </c>
      <c r="I128" s="91" t="s">
        <v>134</v>
      </c>
      <c r="J128" s="88" t="s">
        <v>157</v>
      </c>
      <c r="K128" s="1139"/>
      <c r="L128" s="1139"/>
      <c r="M128" s="1139"/>
      <c r="N128" s="1139">
        <f t="shared" si="60"/>
        <v>0</v>
      </c>
      <c r="O128" s="1139"/>
      <c r="P128" s="1139"/>
      <c r="Q128" s="1139"/>
      <c r="R128" s="1139"/>
      <c r="S128" s="1139"/>
      <c r="T128" s="1139"/>
      <c r="U128" s="1134" t="e">
        <f t="shared" si="33"/>
        <v>#DIV/0!</v>
      </c>
      <c r="V128" s="565"/>
      <c r="W128" s="28"/>
      <c r="X128" s="28"/>
      <c r="Y128" s="1113" t="s">
        <v>1136</v>
      </c>
    </row>
    <row r="129" spans="1:25" ht="22.5" customHeight="1" thickTop="1" thickBot="1" x14ac:dyDescent="0.3">
      <c r="A129" s="28" t="s">
        <v>127</v>
      </c>
      <c r="B129" s="28" t="s">
        <v>129</v>
      </c>
      <c r="C129" s="91" t="s">
        <v>134</v>
      </c>
      <c r="D129" s="91" t="s">
        <v>144</v>
      </c>
      <c r="E129" s="28" t="s">
        <v>129</v>
      </c>
      <c r="F129" s="91" t="s">
        <v>134</v>
      </c>
      <c r="G129" s="91" t="s">
        <v>144</v>
      </c>
      <c r="H129" s="91" t="s">
        <v>129</v>
      </c>
      <c r="I129" s="91" t="s">
        <v>139</v>
      </c>
      <c r="J129" s="88" t="s">
        <v>158</v>
      </c>
      <c r="K129" s="1139"/>
      <c r="L129" s="1139"/>
      <c r="M129" s="1139"/>
      <c r="N129" s="1139">
        <f t="shared" si="60"/>
        <v>0</v>
      </c>
      <c r="O129" s="1139"/>
      <c r="P129" s="1139"/>
      <c r="Q129" s="1139"/>
      <c r="R129" s="1139"/>
      <c r="S129" s="1139"/>
      <c r="T129" s="1139"/>
      <c r="U129" s="1134" t="e">
        <f t="shared" si="33"/>
        <v>#DIV/0!</v>
      </c>
      <c r="V129" s="565"/>
      <c r="W129" s="28"/>
      <c r="X129" s="28"/>
      <c r="Y129" s="1113" t="s">
        <v>1136</v>
      </c>
    </row>
    <row r="130" spans="1:25" ht="22.5" customHeight="1" thickTop="1" thickBot="1" x14ac:dyDescent="0.3">
      <c r="A130" s="28" t="s">
        <v>127</v>
      </c>
      <c r="B130" s="28" t="s">
        <v>129</v>
      </c>
      <c r="C130" s="91" t="s">
        <v>134</v>
      </c>
      <c r="D130" s="91" t="s">
        <v>144</v>
      </c>
      <c r="E130" s="28" t="s">
        <v>129</v>
      </c>
      <c r="F130" s="91" t="s">
        <v>134</v>
      </c>
      <c r="G130" s="91" t="s">
        <v>144</v>
      </c>
      <c r="H130" s="91" t="s">
        <v>134</v>
      </c>
      <c r="I130" s="91"/>
      <c r="J130" s="566" t="s">
        <v>159</v>
      </c>
      <c r="K130" s="1138">
        <f t="shared" ref="K130:T130" si="61">+K131+K132+K133</f>
        <v>0</v>
      </c>
      <c r="L130" s="1138">
        <f>+L131+L132+L133</f>
        <v>0</v>
      </c>
      <c r="M130" s="1138">
        <f>+M131+M132+M133</f>
        <v>0</v>
      </c>
      <c r="N130" s="1138">
        <f t="shared" si="60"/>
        <v>0</v>
      </c>
      <c r="O130" s="1138">
        <f t="shared" si="61"/>
        <v>0</v>
      </c>
      <c r="P130" s="1138">
        <f t="shared" si="61"/>
        <v>0</v>
      </c>
      <c r="Q130" s="1138">
        <f t="shared" si="61"/>
        <v>0</v>
      </c>
      <c r="R130" s="1138">
        <f t="shared" si="61"/>
        <v>0</v>
      </c>
      <c r="S130" s="1138">
        <f t="shared" si="61"/>
        <v>0</v>
      </c>
      <c r="T130" s="1138">
        <f t="shared" si="61"/>
        <v>0</v>
      </c>
      <c r="U130" s="1133" t="e">
        <f t="shared" si="33"/>
        <v>#DIV/0!</v>
      </c>
      <c r="V130" s="565"/>
      <c r="W130" s="28"/>
      <c r="X130" s="28"/>
      <c r="Y130" s="1113" t="s">
        <v>1136</v>
      </c>
    </row>
    <row r="131" spans="1:25" ht="22.5" customHeight="1" thickTop="1" thickBot="1" x14ac:dyDescent="0.3">
      <c r="A131" s="28" t="s">
        <v>127</v>
      </c>
      <c r="B131" s="28" t="s">
        <v>129</v>
      </c>
      <c r="C131" s="91" t="s">
        <v>134</v>
      </c>
      <c r="D131" s="91" t="s">
        <v>144</v>
      </c>
      <c r="E131" s="28" t="s">
        <v>129</v>
      </c>
      <c r="F131" s="91" t="s">
        <v>134</v>
      </c>
      <c r="G131" s="91" t="s">
        <v>144</v>
      </c>
      <c r="H131" s="91" t="s">
        <v>134</v>
      </c>
      <c r="I131" s="91" t="s">
        <v>129</v>
      </c>
      <c r="J131" s="88" t="s">
        <v>160</v>
      </c>
      <c r="K131" s="1139"/>
      <c r="L131" s="1139"/>
      <c r="M131" s="1139"/>
      <c r="N131" s="1139">
        <f t="shared" si="60"/>
        <v>0</v>
      </c>
      <c r="O131" s="1139"/>
      <c r="P131" s="1139"/>
      <c r="Q131" s="1139"/>
      <c r="R131" s="1139"/>
      <c r="S131" s="1139"/>
      <c r="T131" s="1139"/>
      <c r="U131" s="1134" t="e">
        <f t="shared" si="33"/>
        <v>#DIV/0!</v>
      </c>
      <c r="V131" s="565"/>
      <c r="W131" s="28"/>
      <c r="X131" s="28"/>
      <c r="Y131" s="1113" t="s">
        <v>1136</v>
      </c>
    </row>
    <row r="132" spans="1:25" ht="22.5" customHeight="1" thickTop="1" thickBot="1" x14ac:dyDescent="0.3">
      <c r="A132" s="28" t="s">
        <v>127</v>
      </c>
      <c r="B132" s="28" t="s">
        <v>129</v>
      </c>
      <c r="C132" s="91" t="s">
        <v>134</v>
      </c>
      <c r="D132" s="91" t="s">
        <v>144</v>
      </c>
      <c r="E132" s="28" t="s">
        <v>129</v>
      </c>
      <c r="F132" s="91" t="s">
        <v>134</v>
      </c>
      <c r="G132" s="91" t="s">
        <v>144</v>
      </c>
      <c r="H132" s="91" t="s">
        <v>134</v>
      </c>
      <c r="I132" s="91" t="s">
        <v>134</v>
      </c>
      <c r="J132" s="88" t="s">
        <v>161</v>
      </c>
      <c r="K132" s="1139"/>
      <c r="L132" s="1139"/>
      <c r="M132" s="1139"/>
      <c r="N132" s="1139">
        <f t="shared" si="60"/>
        <v>0</v>
      </c>
      <c r="O132" s="1139"/>
      <c r="P132" s="1139"/>
      <c r="Q132" s="1139"/>
      <c r="R132" s="1139"/>
      <c r="S132" s="1139"/>
      <c r="T132" s="1139"/>
      <c r="U132" s="1134" t="e">
        <f t="shared" si="33"/>
        <v>#DIV/0!</v>
      </c>
      <c r="V132" s="565"/>
      <c r="W132" s="28"/>
      <c r="X132" s="28"/>
      <c r="Y132" s="1113" t="s">
        <v>1136</v>
      </c>
    </row>
    <row r="133" spans="1:25" ht="22.5" customHeight="1" thickTop="1" thickBot="1" x14ac:dyDescent="0.3">
      <c r="A133" s="28" t="s">
        <v>127</v>
      </c>
      <c r="B133" s="28" t="s">
        <v>129</v>
      </c>
      <c r="C133" s="91" t="s">
        <v>134</v>
      </c>
      <c r="D133" s="91" t="s">
        <v>144</v>
      </c>
      <c r="E133" s="28" t="s">
        <v>129</v>
      </c>
      <c r="F133" s="91" t="s">
        <v>134</v>
      </c>
      <c r="G133" s="91" t="s">
        <v>144</v>
      </c>
      <c r="H133" s="91" t="s">
        <v>134</v>
      </c>
      <c r="I133" s="91" t="s">
        <v>139</v>
      </c>
      <c r="J133" s="88" t="s">
        <v>162</v>
      </c>
      <c r="K133" s="1139"/>
      <c r="L133" s="1139"/>
      <c r="M133" s="1139"/>
      <c r="N133" s="1139">
        <f t="shared" si="60"/>
        <v>0</v>
      </c>
      <c r="O133" s="1139"/>
      <c r="P133" s="1139"/>
      <c r="Q133" s="1139"/>
      <c r="R133" s="1139"/>
      <c r="S133" s="1139"/>
      <c r="T133" s="1139"/>
      <c r="U133" s="1134" t="e">
        <f t="shared" si="33"/>
        <v>#DIV/0!</v>
      </c>
      <c r="V133" s="565"/>
      <c r="W133" s="28"/>
      <c r="X133" s="28"/>
      <c r="Y133" s="1113" t="s">
        <v>1136</v>
      </c>
    </row>
    <row r="134" spans="1:25" ht="22.5" customHeight="1" thickTop="1" thickBot="1" x14ac:dyDescent="0.3">
      <c r="A134" s="28" t="s">
        <v>127</v>
      </c>
      <c r="B134" s="28" t="s">
        <v>129</v>
      </c>
      <c r="C134" s="91" t="s">
        <v>134</v>
      </c>
      <c r="D134" s="91" t="s">
        <v>144</v>
      </c>
      <c r="E134" s="28" t="s">
        <v>129</v>
      </c>
      <c r="F134" s="91" t="s">
        <v>134</v>
      </c>
      <c r="G134" s="91" t="s">
        <v>144</v>
      </c>
      <c r="H134" s="91" t="s">
        <v>139</v>
      </c>
      <c r="I134" s="91"/>
      <c r="J134" s="566" t="s">
        <v>1278</v>
      </c>
      <c r="K134" s="1138">
        <v>0</v>
      </c>
      <c r="L134" s="1138">
        <v>0</v>
      </c>
      <c r="M134" s="1138">
        <v>0</v>
      </c>
      <c r="N134" s="1138">
        <f t="shared" si="60"/>
        <v>0</v>
      </c>
      <c r="O134" s="1138">
        <v>0</v>
      </c>
      <c r="P134" s="1138">
        <v>0</v>
      </c>
      <c r="Q134" s="1138">
        <v>0</v>
      </c>
      <c r="R134" s="1138">
        <v>0</v>
      </c>
      <c r="S134" s="1138">
        <v>0</v>
      </c>
      <c r="T134" s="1138">
        <v>0</v>
      </c>
      <c r="U134" s="1133" t="e">
        <f t="shared" si="33"/>
        <v>#DIV/0!</v>
      </c>
      <c r="V134" s="565"/>
      <c r="W134" s="28"/>
      <c r="X134" s="28"/>
      <c r="Y134" s="1113" t="s">
        <v>1136</v>
      </c>
    </row>
    <row r="135" spans="1:25" ht="22.5" customHeight="1" thickTop="1" thickBot="1" x14ac:dyDescent="0.3">
      <c r="A135" s="28" t="s">
        <v>127</v>
      </c>
      <c r="B135" s="28" t="s">
        <v>129</v>
      </c>
      <c r="C135" s="91" t="s">
        <v>134</v>
      </c>
      <c r="D135" s="91" t="s">
        <v>144</v>
      </c>
      <c r="E135" s="28" t="s">
        <v>129</v>
      </c>
      <c r="F135" s="91" t="s">
        <v>134</v>
      </c>
      <c r="G135" s="91" t="s">
        <v>144</v>
      </c>
      <c r="H135" s="91" t="s">
        <v>140</v>
      </c>
      <c r="I135" s="91"/>
      <c r="J135" s="566" t="s">
        <v>163</v>
      </c>
      <c r="K135" s="1138">
        <v>0</v>
      </c>
      <c r="L135" s="1138">
        <v>0</v>
      </c>
      <c r="M135" s="1138">
        <v>0</v>
      </c>
      <c r="N135" s="1138">
        <f t="shared" si="60"/>
        <v>0</v>
      </c>
      <c r="O135" s="1138">
        <v>0</v>
      </c>
      <c r="P135" s="1138">
        <v>0</v>
      </c>
      <c r="Q135" s="1138">
        <v>0</v>
      </c>
      <c r="R135" s="1138">
        <v>0</v>
      </c>
      <c r="S135" s="1138">
        <v>0</v>
      </c>
      <c r="T135" s="1138">
        <v>0</v>
      </c>
      <c r="U135" s="1133" t="e">
        <f t="shared" si="33"/>
        <v>#DIV/0!</v>
      </c>
      <c r="V135" s="565"/>
      <c r="W135" s="28"/>
      <c r="X135" s="28"/>
      <c r="Y135" s="1113" t="s">
        <v>1136</v>
      </c>
    </row>
    <row r="136" spans="1:25" ht="22.5" customHeight="1" thickTop="1" thickBot="1" x14ac:dyDescent="0.3">
      <c r="A136" s="28" t="s">
        <v>127</v>
      </c>
      <c r="B136" s="28" t="s">
        <v>129</v>
      </c>
      <c r="C136" s="91" t="s">
        <v>134</v>
      </c>
      <c r="D136" s="91" t="s">
        <v>144</v>
      </c>
      <c r="E136" s="28" t="s">
        <v>129</v>
      </c>
      <c r="F136" s="91" t="s">
        <v>134</v>
      </c>
      <c r="G136" s="91" t="s">
        <v>144</v>
      </c>
      <c r="H136" s="91" t="s">
        <v>144</v>
      </c>
      <c r="I136" s="91"/>
      <c r="J136" s="566" t="s">
        <v>164</v>
      </c>
      <c r="K136" s="1138">
        <v>0</v>
      </c>
      <c r="L136" s="1138">
        <v>0</v>
      </c>
      <c r="M136" s="1138">
        <v>0</v>
      </c>
      <c r="N136" s="1138">
        <f t="shared" si="60"/>
        <v>0</v>
      </c>
      <c r="O136" s="1138">
        <v>0</v>
      </c>
      <c r="P136" s="1138">
        <v>0</v>
      </c>
      <c r="Q136" s="1138">
        <v>0</v>
      </c>
      <c r="R136" s="1138">
        <v>0</v>
      </c>
      <c r="S136" s="1138">
        <v>0</v>
      </c>
      <c r="T136" s="1138">
        <v>0</v>
      </c>
      <c r="U136" s="1133" t="e">
        <f t="shared" ref="U136:U199" si="62">T136/S136</f>
        <v>#DIV/0!</v>
      </c>
      <c r="V136" s="565"/>
      <c r="W136" s="28"/>
      <c r="X136" s="28"/>
      <c r="Y136" s="1113" t="s">
        <v>1136</v>
      </c>
    </row>
    <row r="137" spans="1:25" ht="22.5" customHeight="1" thickTop="1" thickBot="1" x14ac:dyDescent="0.3">
      <c r="A137" s="28" t="s">
        <v>127</v>
      </c>
      <c r="B137" s="28" t="s">
        <v>129</v>
      </c>
      <c r="C137" s="91" t="s">
        <v>134</v>
      </c>
      <c r="D137" s="91" t="s">
        <v>144</v>
      </c>
      <c r="E137" s="28" t="s">
        <v>129</v>
      </c>
      <c r="F137" s="91" t="s">
        <v>134</v>
      </c>
      <c r="G137" s="91" t="s">
        <v>145</v>
      </c>
      <c r="H137" s="91" t="s">
        <v>145</v>
      </c>
      <c r="I137" s="91"/>
      <c r="J137" s="1140" t="s">
        <v>165</v>
      </c>
      <c r="K137" s="1138">
        <f>SUM(K138:K140)</f>
        <v>0</v>
      </c>
      <c r="L137" s="1138">
        <f>SUM(L138:L140)</f>
        <v>0</v>
      </c>
      <c r="M137" s="1138">
        <f>SUM(M138:M140)</f>
        <v>0</v>
      </c>
      <c r="N137" s="1138">
        <f>SUM(N138:N140)</f>
        <v>0</v>
      </c>
      <c r="O137" s="1138">
        <f t="shared" ref="O137:T137" si="63">SUM(O138:O140)</f>
        <v>0</v>
      </c>
      <c r="P137" s="1138">
        <f t="shared" si="63"/>
        <v>0</v>
      </c>
      <c r="Q137" s="1138">
        <f t="shared" si="63"/>
        <v>0</v>
      </c>
      <c r="R137" s="1138">
        <f t="shared" si="63"/>
        <v>0</v>
      </c>
      <c r="S137" s="1138">
        <f>SUM(S138:S140)</f>
        <v>0</v>
      </c>
      <c r="T137" s="1138">
        <f t="shared" si="63"/>
        <v>0</v>
      </c>
      <c r="U137" s="1138" t="e">
        <f t="shared" si="62"/>
        <v>#DIV/0!</v>
      </c>
      <c r="V137" s="1138"/>
      <c r="W137" s="28"/>
      <c r="X137" s="28"/>
      <c r="Y137" s="1113"/>
    </row>
    <row r="138" spans="1:25" ht="22.5" customHeight="1" thickTop="1" thickBot="1" x14ac:dyDescent="0.3">
      <c r="A138" s="28" t="s">
        <v>127</v>
      </c>
      <c r="B138" s="28" t="s">
        <v>129</v>
      </c>
      <c r="C138" s="91" t="s">
        <v>134</v>
      </c>
      <c r="D138" s="91" t="s">
        <v>144</v>
      </c>
      <c r="E138" s="28" t="s">
        <v>129</v>
      </c>
      <c r="F138" s="91" t="s">
        <v>134</v>
      </c>
      <c r="G138" s="91" t="s">
        <v>145</v>
      </c>
      <c r="H138" s="91" t="s">
        <v>145</v>
      </c>
      <c r="I138" s="91" t="s">
        <v>129</v>
      </c>
      <c r="J138" s="539" t="s">
        <v>166</v>
      </c>
      <c r="K138" s="1138"/>
      <c r="L138" s="1138"/>
      <c r="M138" s="1138"/>
      <c r="N138" s="1139">
        <f t="shared" ref="N138:N201" si="64">K138+L138-M138</f>
        <v>0</v>
      </c>
      <c r="O138" s="1138"/>
      <c r="P138" s="1138"/>
      <c r="Q138" s="1138"/>
      <c r="R138" s="1138"/>
      <c r="S138" s="1139"/>
      <c r="T138" s="1138"/>
      <c r="U138" s="1134" t="e">
        <f t="shared" si="62"/>
        <v>#DIV/0!</v>
      </c>
      <c r="V138" s="565"/>
      <c r="W138" s="28"/>
      <c r="X138" s="28"/>
      <c r="Y138" s="1113"/>
    </row>
    <row r="139" spans="1:25" ht="22.5" customHeight="1" thickTop="1" thickBot="1" x14ac:dyDescent="0.3">
      <c r="A139" s="28" t="s">
        <v>127</v>
      </c>
      <c r="B139" s="28" t="s">
        <v>129</v>
      </c>
      <c r="C139" s="91" t="s">
        <v>134</v>
      </c>
      <c r="D139" s="91" t="s">
        <v>144</v>
      </c>
      <c r="E139" s="28" t="s">
        <v>129</v>
      </c>
      <c r="F139" s="91" t="s">
        <v>134</v>
      </c>
      <c r="G139" s="91" t="s">
        <v>145</v>
      </c>
      <c r="H139" s="91" t="s">
        <v>145</v>
      </c>
      <c r="I139" s="91" t="s">
        <v>134</v>
      </c>
      <c r="J139" s="539" t="s">
        <v>167</v>
      </c>
      <c r="K139" s="1138"/>
      <c r="L139" s="1138"/>
      <c r="M139" s="1138"/>
      <c r="N139" s="1139">
        <f t="shared" si="64"/>
        <v>0</v>
      </c>
      <c r="O139" s="1138"/>
      <c r="P139" s="1138"/>
      <c r="Q139" s="1138"/>
      <c r="R139" s="1138"/>
      <c r="S139" s="1139"/>
      <c r="T139" s="1138"/>
      <c r="U139" s="1134" t="e">
        <f t="shared" si="62"/>
        <v>#DIV/0!</v>
      </c>
      <c r="V139" s="565"/>
      <c r="W139" s="28"/>
      <c r="X139" s="28"/>
      <c r="Y139" s="1113"/>
    </row>
    <row r="140" spans="1:25" ht="22.5" customHeight="1" thickTop="1" thickBot="1" x14ac:dyDescent="0.3">
      <c r="A140" s="28" t="s">
        <v>127</v>
      </c>
      <c r="B140" s="28" t="s">
        <v>129</v>
      </c>
      <c r="C140" s="91" t="s">
        <v>134</v>
      </c>
      <c r="D140" s="91" t="s">
        <v>144</v>
      </c>
      <c r="E140" s="28" t="s">
        <v>129</v>
      </c>
      <c r="F140" s="91" t="s">
        <v>134</v>
      </c>
      <c r="G140" s="91" t="s">
        <v>145</v>
      </c>
      <c r="H140" s="91" t="s">
        <v>145</v>
      </c>
      <c r="I140" s="91" t="s">
        <v>139</v>
      </c>
      <c r="J140" s="539" t="s">
        <v>168</v>
      </c>
      <c r="K140" s="1138"/>
      <c r="L140" s="1138"/>
      <c r="M140" s="1138"/>
      <c r="N140" s="1139">
        <f t="shared" si="64"/>
        <v>0</v>
      </c>
      <c r="O140" s="1138"/>
      <c r="P140" s="1138"/>
      <c r="Q140" s="1138"/>
      <c r="R140" s="1138"/>
      <c r="S140" s="1139"/>
      <c r="T140" s="1138"/>
      <c r="U140" s="1134" t="e">
        <f t="shared" si="62"/>
        <v>#DIV/0!</v>
      </c>
      <c r="V140" s="565"/>
      <c r="W140" s="28"/>
      <c r="X140" s="28"/>
      <c r="Y140" s="1113"/>
    </row>
    <row r="141" spans="1:25" s="1" customFormat="1" ht="22.5" customHeight="1" thickTop="1" thickBot="1" x14ac:dyDescent="0.3">
      <c r="A141" s="1115" t="s">
        <v>127</v>
      </c>
      <c r="B141" s="1116" t="s">
        <v>134</v>
      </c>
      <c r="C141" s="1116"/>
      <c r="D141" s="1116"/>
      <c r="E141" s="1116"/>
      <c r="F141" s="1116"/>
      <c r="G141" s="1116"/>
      <c r="H141" s="27"/>
      <c r="I141" s="27"/>
      <c r="J141" s="1117" t="s">
        <v>169</v>
      </c>
      <c r="K141" s="1118">
        <f t="shared" ref="K141:R141" si="65">+K142+K151+K188+K194+K213+K243+K256</f>
        <v>25622142618</v>
      </c>
      <c r="L141" s="1118">
        <f>+L142+L151+L188+L194+L213+L243+L256</f>
        <v>92000000</v>
      </c>
      <c r="M141" s="1118">
        <f>+M142+M151+M188+M194+M213+M243+M256</f>
        <v>0</v>
      </c>
      <c r="N141" s="1118">
        <f t="shared" si="64"/>
        <v>25714142618</v>
      </c>
      <c r="O141" s="1118">
        <f t="shared" si="65"/>
        <v>0</v>
      </c>
      <c r="P141" s="1118">
        <f t="shared" si="65"/>
        <v>25714142618</v>
      </c>
      <c r="Q141" s="1118">
        <f t="shared" si="65"/>
        <v>0</v>
      </c>
      <c r="R141" s="1118">
        <f t="shared" si="65"/>
        <v>0</v>
      </c>
      <c r="S141" s="1118">
        <f>+S142+S151+S188+S194+S213+S243+S256</f>
        <v>0</v>
      </c>
      <c r="T141" s="1118">
        <f>+T142+T151+T188+T194+T213+T243+T256</f>
        <v>11443700868.360001</v>
      </c>
      <c r="U141" s="1119" t="e">
        <f t="shared" si="62"/>
        <v>#DIV/0!</v>
      </c>
      <c r="V141" s="1115"/>
      <c r="W141" s="1115" t="s">
        <v>1279</v>
      </c>
      <c r="X141" s="1115"/>
      <c r="Y141" s="1113" t="s">
        <v>1136</v>
      </c>
    </row>
    <row r="142" spans="1:25" s="1" customFormat="1" ht="22.5" customHeight="1" thickTop="1" thickBot="1" x14ac:dyDescent="0.3">
      <c r="A142" s="1120" t="s">
        <v>127</v>
      </c>
      <c r="B142" s="1121" t="s">
        <v>134</v>
      </c>
      <c r="C142" s="1121" t="s">
        <v>129</v>
      </c>
      <c r="D142" s="1121"/>
      <c r="E142" s="1121"/>
      <c r="F142" s="1121"/>
      <c r="G142" s="1121"/>
      <c r="H142" s="1122"/>
      <c r="I142" s="1122"/>
      <c r="J142" s="1123" t="s">
        <v>170</v>
      </c>
      <c r="K142" s="1124">
        <f>+K143</f>
        <v>0</v>
      </c>
      <c r="L142" s="1124">
        <f>+L143</f>
        <v>0</v>
      </c>
      <c r="M142" s="1124">
        <f>+M143</f>
        <v>0</v>
      </c>
      <c r="N142" s="1124">
        <f t="shared" si="64"/>
        <v>0</v>
      </c>
      <c r="O142" s="1124">
        <f t="shared" ref="O142:T142" si="66">+O143</f>
        <v>0</v>
      </c>
      <c r="P142" s="1124">
        <f t="shared" si="66"/>
        <v>0</v>
      </c>
      <c r="Q142" s="1124">
        <f t="shared" si="66"/>
        <v>0</v>
      </c>
      <c r="R142" s="1124">
        <f t="shared" si="66"/>
        <v>0</v>
      </c>
      <c r="S142" s="1124">
        <f>+S143</f>
        <v>0</v>
      </c>
      <c r="T142" s="1124">
        <f t="shared" si="66"/>
        <v>0</v>
      </c>
      <c r="U142" s="1125" t="e">
        <f t="shared" si="62"/>
        <v>#DIV/0!</v>
      </c>
      <c r="V142" s="1121"/>
      <c r="W142" s="1120" t="s">
        <v>1280</v>
      </c>
      <c r="X142" s="1121"/>
      <c r="Y142" s="1113" t="s">
        <v>1136</v>
      </c>
    </row>
    <row r="143" spans="1:25" s="1" customFormat="1" ht="22.5" customHeight="1" thickTop="1" thickBot="1" x14ac:dyDescent="0.3">
      <c r="A143" s="1126" t="s">
        <v>127</v>
      </c>
      <c r="B143" s="1127" t="s">
        <v>134</v>
      </c>
      <c r="C143" s="1127" t="s">
        <v>129</v>
      </c>
      <c r="D143" s="1127" t="s">
        <v>129</v>
      </c>
      <c r="E143" s="1127"/>
      <c r="F143" s="1127"/>
      <c r="G143" s="1127"/>
      <c r="H143" s="1128"/>
      <c r="I143" s="1128"/>
      <c r="J143" s="1129" t="s">
        <v>171</v>
      </c>
      <c r="K143" s="1130">
        <f>+K144+K149</f>
        <v>0</v>
      </c>
      <c r="L143" s="1130">
        <f>+L144+L149</f>
        <v>0</v>
      </c>
      <c r="M143" s="1130">
        <f>+M144+M149</f>
        <v>0</v>
      </c>
      <c r="N143" s="1130">
        <f t="shared" si="64"/>
        <v>0</v>
      </c>
      <c r="O143" s="1130">
        <f t="shared" ref="O143:T143" si="67">+O144+O149</f>
        <v>0</v>
      </c>
      <c r="P143" s="1130">
        <f t="shared" si="67"/>
        <v>0</v>
      </c>
      <c r="Q143" s="1130">
        <f t="shared" si="67"/>
        <v>0</v>
      </c>
      <c r="R143" s="1130">
        <f t="shared" si="67"/>
        <v>0</v>
      </c>
      <c r="S143" s="1130">
        <f>+S144+S149</f>
        <v>0</v>
      </c>
      <c r="T143" s="1130">
        <f t="shared" si="67"/>
        <v>0</v>
      </c>
      <c r="U143" s="1131" t="e">
        <f t="shared" si="62"/>
        <v>#DIV/0!</v>
      </c>
      <c r="V143" s="1127"/>
      <c r="W143" s="1126" t="s">
        <v>1281</v>
      </c>
      <c r="X143" s="1126"/>
      <c r="Y143" s="1113" t="s">
        <v>1136</v>
      </c>
    </row>
    <row r="144" spans="1:25" s="1" customFormat="1" ht="22.5" customHeight="1" thickTop="1" thickBot="1" x14ac:dyDescent="0.3">
      <c r="A144" s="564" t="s">
        <v>127</v>
      </c>
      <c r="B144" s="565" t="s">
        <v>134</v>
      </c>
      <c r="C144" s="565" t="s">
        <v>129</v>
      </c>
      <c r="D144" s="565" t="s">
        <v>129</v>
      </c>
      <c r="E144" s="565" t="s">
        <v>129</v>
      </c>
      <c r="F144" s="565"/>
      <c r="G144" s="565"/>
      <c r="H144" s="91"/>
      <c r="I144" s="91"/>
      <c r="J144" s="566" t="s">
        <v>172</v>
      </c>
      <c r="K144" s="1132">
        <f>+K145+K146+K147</f>
        <v>0</v>
      </c>
      <c r="L144" s="1132">
        <f>+L145+L146+L147</f>
        <v>0</v>
      </c>
      <c r="M144" s="1132">
        <f>+M145+M146+M147</f>
        <v>0</v>
      </c>
      <c r="N144" s="1132">
        <f t="shared" si="64"/>
        <v>0</v>
      </c>
      <c r="O144" s="1132">
        <f t="shared" ref="O144:T144" si="68">+O145+O146+O147</f>
        <v>0</v>
      </c>
      <c r="P144" s="1132">
        <f t="shared" si="68"/>
        <v>0</v>
      </c>
      <c r="Q144" s="1132">
        <f t="shared" si="68"/>
        <v>0</v>
      </c>
      <c r="R144" s="1132">
        <f t="shared" si="68"/>
        <v>0</v>
      </c>
      <c r="S144" s="1132">
        <f>+S145+S146+S147</f>
        <v>0</v>
      </c>
      <c r="T144" s="1132">
        <f t="shared" si="68"/>
        <v>0</v>
      </c>
      <c r="U144" s="1133" t="e">
        <f t="shared" si="62"/>
        <v>#DIV/0!</v>
      </c>
      <c r="V144" s="565"/>
      <c r="W144" s="564" t="s">
        <v>1282</v>
      </c>
      <c r="X144" s="564"/>
      <c r="Y144" s="1113" t="s">
        <v>1136</v>
      </c>
    </row>
    <row r="145" spans="1:25" ht="22.5" customHeight="1" thickTop="1" thickBot="1" x14ac:dyDescent="0.3">
      <c r="A145" s="28" t="s">
        <v>127</v>
      </c>
      <c r="B145" s="91" t="s">
        <v>134</v>
      </c>
      <c r="C145" s="91" t="s">
        <v>129</v>
      </c>
      <c r="D145" s="91" t="s">
        <v>129</v>
      </c>
      <c r="E145" s="91" t="s">
        <v>129</v>
      </c>
      <c r="F145" s="565" t="s">
        <v>129</v>
      </c>
      <c r="G145" s="91"/>
      <c r="H145" s="91"/>
      <c r="I145" s="91"/>
      <c r="J145" s="88" t="s">
        <v>173</v>
      </c>
      <c r="K145" s="538"/>
      <c r="L145" s="538"/>
      <c r="M145" s="538"/>
      <c r="N145" s="538">
        <f t="shared" si="64"/>
        <v>0</v>
      </c>
      <c r="O145" s="538"/>
      <c r="P145" s="538"/>
      <c r="Q145" s="538"/>
      <c r="R145" s="538"/>
      <c r="S145" s="538"/>
      <c r="T145" s="538"/>
      <c r="U145" s="1134" t="e">
        <f t="shared" si="62"/>
        <v>#DIV/0!</v>
      </c>
      <c r="V145" s="565"/>
      <c r="W145" s="28" t="s">
        <v>1283</v>
      </c>
      <c r="X145" s="28"/>
      <c r="Y145" s="1113" t="s">
        <v>1136</v>
      </c>
    </row>
    <row r="146" spans="1:25" ht="22.5" customHeight="1" thickTop="1" thickBot="1" x14ac:dyDescent="0.3">
      <c r="A146" s="28" t="s">
        <v>127</v>
      </c>
      <c r="B146" s="91" t="s">
        <v>134</v>
      </c>
      <c r="C146" s="91" t="s">
        <v>129</v>
      </c>
      <c r="D146" s="91" t="s">
        <v>129</v>
      </c>
      <c r="E146" s="91" t="s">
        <v>129</v>
      </c>
      <c r="F146" s="565" t="s">
        <v>134</v>
      </c>
      <c r="G146" s="91"/>
      <c r="H146" s="91"/>
      <c r="I146" s="91"/>
      <c r="J146" s="88" t="s">
        <v>174</v>
      </c>
      <c r="K146" s="538"/>
      <c r="L146" s="538"/>
      <c r="M146" s="538"/>
      <c r="N146" s="538">
        <f t="shared" si="64"/>
        <v>0</v>
      </c>
      <c r="O146" s="538"/>
      <c r="P146" s="538"/>
      <c r="Q146" s="538"/>
      <c r="R146" s="538"/>
      <c r="S146" s="538"/>
      <c r="T146" s="538"/>
      <c r="U146" s="1134" t="e">
        <f t="shared" si="62"/>
        <v>#DIV/0!</v>
      </c>
      <c r="V146" s="565"/>
      <c r="W146" s="28" t="s">
        <v>1284</v>
      </c>
      <c r="X146" s="28"/>
      <c r="Y146" s="1113" t="s">
        <v>1136</v>
      </c>
    </row>
    <row r="147" spans="1:25" ht="22.5" customHeight="1" thickTop="1" thickBot="1" x14ac:dyDescent="0.3">
      <c r="A147" s="28" t="s">
        <v>127</v>
      </c>
      <c r="B147" s="91" t="s">
        <v>134</v>
      </c>
      <c r="C147" s="91" t="s">
        <v>129</v>
      </c>
      <c r="D147" s="91" t="s">
        <v>129</v>
      </c>
      <c r="E147" s="91" t="s">
        <v>129</v>
      </c>
      <c r="F147" s="565" t="s">
        <v>139</v>
      </c>
      <c r="G147" s="91"/>
      <c r="H147" s="91"/>
      <c r="I147" s="91"/>
      <c r="J147" s="88" t="s">
        <v>175</v>
      </c>
      <c r="K147" s="538">
        <f>+K148</f>
        <v>0</v>
      </c>
      <c r="L147" s="538">
        <f>+L148</f>
        <v>0</v>
      </c>
      <c r="M147" s="538">
        <f>+M148</f>
        <v>0</v>
      </c>
      <c r="N147" s="538">
        <f t="shared" si="64"/>
        <v>0</v>
      </c>
      <c r="O147" s="538">
        <f t="shared" ref="O147:T147" si="69">+O148</f>
        <v>0</v>
      </c>
      <c r="P147" s="538">
        <f t="shared" si="69"/>
        <v>0</v>
      </c>
      <c r="Q147" s="538">
        <f t="shared" si="69"/>
        <v>0</v>
      </c>
      <c r="R147" s="538">
        <f t="shared" si="69"/>
        <v>0</v>
      </c>
      <c r="S147" s="538">
        <f>+S148</f>
        <v>0</v>
      </c>
      <c r="T147" s="538">
        <f t="shared" si="69"/>
        <v>0</v>
      </c>
      <c r="U147" s="1134" t="e">
        <f t="shared" si="62"/>
        <v>#DIV/0!</v>
      </c>
      <c r="V147" s="565"/>
      <c r="W147" s="28" t="s">
        <v>1285</v>
      </c>
      <c r="X147" s="28"/>
      <c r="Y147" s="1113" t="s">
        <v>1136</v>
      </c>
    </row>
    <row r="148" spans="1:25" ht="22.5" customHeight="1" thickTop="1" thickBot="1" x14ac:dyDescent="0.3">
      <c r="A148" s="28" t="s">
        <v>127</v>
      </c>
      <c r="B148" s="91" t="s">
        <v>134</v>
      </c>
      <c r="C148" s="91" t="s">
        <v>129</v>
      </c>
      <c r="D148" s="91" t="s">
        <v>129</v>
      </c>
      <c r="E148" s="91" t="s">
        <v>129</v>
      </c>
      <c r="F148" s="91" t="s">
        <v>139</v>
      </c>
      <c r="G148" s="565" t="s">
        <v>129</v>
      </c>
      <c r="H148" s="91"/>
      <c r="I148" s="91"/>
      <c r="J148" s="88" t="s">
        <v>176</v>
      </c>
      <c r="K148" s="1132"/>
      <c r="L148" s="1132"/>
      <c r="M148" s="1132"/>
      <c r="N148" s="1132">
        <f t="shared" si="64"/>
        <v>0</v>
      </c>
      <c r="O148" s="1132"/>
      <c r="P148" s="1132"/>
      <c r="Q148" s="1132"/>
      <c r="R148" s="1132"/>
      <c r="S148" s="1132"/>
      <c r="T148" s="1132"/>
      <c r="U148" s="1133" t="e">
        <f t="shared" si="62"/>
        <v>#DIV/0!</v>
      </c>
      <c r="V148" s="565"/>
      <c r="W148" s="28" t="s">
        <v>1286</v>
      </c>
      <c r="X148" s="28"/>
      <c r="Y148" s="1113" t="s">
        <v>1136</v>
      </c>
    </row>
    <row r="149" spans="1:25" s="1" customFormat="1" ht="22.5" customHeight="1" thickTop="1" thickBot="1" x14ac:dyDescent="0.3">
      <c r="A149" s="564" t="s">
        <v>127</v>
      </c>
      <c r="B149" s="565" t="s">
        <v>134</v>
      </c>
      <c r="C149" s="565" t="s">
        <v>129</v>
      </c>
      <c r="D149" s="565" t="s">
        <v>129</v>
      </c>
      <c r="E149" s="565" t="s">
        <v>134</v>
      </c>
      <c r="F149" s="565"/>
      <c r="G149" s="565"/>
      <c r="H149" s="91"/>
      <c r="I149" s="91"/>
      <c r="J149" s="566" t="s">
        <v>177</v>
      </c>
      <c r="K149" s="1132">
        <f>+K150</f>
        <v>0</v>
      </c>
      <c r="L149" s="1132">
        <f>+L150</f>
        <v>0</v>
      </c>
      <c r="M149" s="1132">
        <f>+M150</f>
        <v>0</v>
      </c>
      <c r="N149" s="1132">
        <f t="shared" si="64"/>
        <v>0</v>
      </c>
      <c r="O149" s="1132">
        <f t="shared" ref="O149:T149" si="70">+O150</f>
        <v>0</v>
      </c>
      <c r="P149" s="1132">
        <f t="shared" si="70"/>
        <v>0</v>
      </c>
      <c r="Q149" s="1132">
        <f t="shared" si="70"/>
        <v>0</v>
      </c>
      <c r="R149" s="1132">
        <f t="shared" si="70"/>
        <v>0</v>
      </c>
      <c r="S149" s="1132">
        <f>+S150</f>
        <v>0</v>
      </c>
      <c r="T149" s="1132">
        <f t="shared" si="70"/>
        <v>0</v>
      </c>
      <c r="U149" s="1133" t="e">
        <f t="shared" si="62"/>
        <v>#DIV/0!</v>
      </c>
      <c r="V149" s="565"/>
      <c r="W149" s="564" t="s">
        <v>1287</v>
      </c>
      <c r="X149" s="564"/>
      <c r="Y149" s="1113" t="s">
        <v>1136</v>
      </c>
    </row>
    <row r="150" spans="1:25" ht="22.5" customHeight="1" thickTop="1" thickBot="1" x14ac:dyDescent="0.3">
      <c r="A150" s="28" t="s">
        <v>127</v>
      </c>
      <c r="B150" s="91" t="s">
        <v>134</v>
      </c>
      <c r="C150" s="91" t="s">
        <v>129</v>
      </c>
      <c r="D150" s="91" t="s">
        <v>129</v>
      </c>
      <c r="E150" s="91" t="s">
        <v>134</v>
      </c>
      <c r="F150" s="565" t="s">
        <v>129</v>
      </c>
      <c r="G150" s="91"/>
      <c r="H150" s="91"/>
      <c r="I150" s="91"/>
      <c r="J150" s="88" t="s">
        <v>178</v>
      </c>
      <c r="K150" s="538"/>
      <c r="L150" s="538"/>
      <c r="M150" s="538"/>
      <c r="N150" s="538">
        <f t="shared" si="64"/>
        <v>0</v>
      </c>
      <c r="O150" s="538"/>
      <c r="P150" s="538"/>
      <c r="Q150" s="538"/>
      <c r="R150" s="538"/>
      <c r="S150" s="538"/>
      <c r="T150" s="538"/>
      <c r="U150" s="1134" t="e">
        <f t="shared" si="62"/>
        <v>#DIV/0!</v>
      </c>
      <c r="V150" s="565"/>
      <c r="W150" s="28" t="s">
        <v>1288</v>
      </c>
      <c r="X150" s="28"/>
      <c r="Y150" s="1113" t="s">
        <v>1136</v>
      </c>
    </row>
    <row r="151" spans="1:25" s="1" customFormat="1" ht="22.5" customHeight="1" thickTop="1" thickBot="1" x14ac:dyDescent="0.3">
      <c r="A151" s="1120" t="s">
        <v>127</v>
      </c>
      <c r="B151" s="1121" t="s">
        <v>134</v>
      </c>
      <c r="C151" s="1121" t="s">
        <v>134</v>
      </c>
      <c r="D151" s="1121"/>
      <c r="E151" s="1121"/>
      <c r="F151" s="1121"/>
      <c r="G151" s="1121"/>
      <c r="H151" s="1122"/>
      <c r="I151" s="1122"/>
      <c r="J151" s="1123" t="s">
        <v>179</v>
      </c>
      <c r="K151" s="1141">
        <f t="shared" ref="K151:R151" si="71">+K152+K153+K170+K186+K187</f>
        <v>157142618</v>
      </c>
      <c r="L151" s="1141">
        <f>+L152+L153+L170+L186+L187</f>
        <v>0</v>
      </c>
      <c r="M151" s="1141">
        <f>+M152+M153+M170+M186+M187</f>
        <v>0</v>
      </c>
      <c r="N151" s="1141">
        <f t="shared" si="64"/>
        <v>157142618</v>
      </c>
      <c r="O151" s="1141">
        <f t="shared" si="71"/>
        <v>0</v>
      </c>
      <c r="P151" s="1141">
        <f t="shared" si="71"/>
        <v>157142618</v>
      </c>
      <c r="Q151" s="1141">
        <f t="shared" si="71"/>
        <v>0</v>
      </c>
      <c r="R151" s="1141">
        <f t="shared" si="71"/>
        <v>0</v>
      </c>
      <c r="S151" s="1141">
        <f>+S152+S153+S170+S186+S187</f>
        <v>0</v>
      </c>
      <c r="T151" s="1141">
        <f>+T152+T153+T170+T186+T187</f>
        <v>325367535.36000001</v>
      </c>
      <c r="U151" s="1125" t="e">
        <f t="shared" si="62"/>
        <v>#DIV/0!</v>
      </c>
      <c r="V151" s="1121"/>
      <c r="W151" s="1121" t="s">
        <v>1289</v>
      </c>
      <c r="X151" s="1121"/>
      <c r="Y151" s="1113" t="s">
        <v>1136</v>
      </c>
    </row>
    <row r="152" spans="1:25" s="1" customFormat="1" ht="22.5" customHeight="1" thickTop="1" thickBot="1" x14ac:dyDescent="0.3">
      <c r="A152" s="1126" t="s">
        <v>127</v>
      </c>
      <c r="B152" s="1127" t="s">
        <v>134</v>
      </c>
      <c r="C152" s="1127" t="s">
        <v>134</v>
      </c>
      <c r="D152" s="1127" t="s">
        <v>129</v>
      </c>
      <c r="E152" s="1127"/>
      <c r="F152" s="1127"/>
      <c r="G152" s="1127"/>
      <c r="H152" s="1128"/>
      <c r="I152" s="1128"/>
      <c r="J152" s="1129" t="s">
        <v>1290</v>
      </c>
      <c r="K152" s="1136"/>
      <c r="L152" s="1136"/>
      <c r="M152" s="1136"/>
      <c r="N152" s="1136">
        <f t="shared" si="64"/>
        <v>0</v>
      </c>
      <c r="O152" s="1136"/>
      <c r="P152" s="1136"/>
      <c r="Q152" s="1136"/>
      <c r="R152" s="1136"/>
      <c r="S152" s="1136"/>
      <c r="T152" s="1136"/>
      <c r="U152" s="1131" t="e">
        <f t="shared" si="62"/>
        <v>#DIV/0!</v>
      </c>
      <c r="V152" s="1127"/>
      <c r="W152" s="1126" t="s">
        <v>1291</v>
      </c>
      <c r="X152" s="1126"/>
      <c r="Y152" s="1113" t="s">
        <v>1136</v>
      </c>
    </row>
    <row r="153" spans="1:25" s="1" customFormat="1" ht="22.5" customHeight="1" thickTop="1" thickBot="1" x14ac:dyDescent="0.3">
      <c r="A153" s="1126" t="s">
        <v>127</v>
      </c>
      <c r="B153" s="1127" t="s">
        <v>134</v>
      </c>
      <c r="C153" s="1127" t="s">
        <v>134</v>
      </c>
      <c r="D153" s="1127" t="s">
        <v>134</v>
      </c>
      <c r="E153" s="1127"/>
      <c r="F153" s="1127"/>
      <c r="G153" s="1127"/>
      <c r="H153" s="1128"/>
      <c r="I153" s="1128"/>
      <c r="J153" s="1129" t="s">
        <v>1292</v>
      </c>
      <c r="K153" s="1136">
        <f>+K154+K155+K158+K164+K165+K166+K167+K168</f>
        <v>157142618</v>
      </c>
      <c r="L153" s="1136">
        <f>+L154+L155+L158+L164+L165+L166+L167+L168</f>
        <v>0</v>
      </c>
      <c r="M153" s="1136">
        <f>+M154+M155+M158+M164+M165+M166+M167+M168</f>
        <v>0</v>
      </c>
      <c r="N153" s="1136">
        <f t="shared" si="64"/>
        <v>157142618</v>
      </c>
      <c r="O153" s="1136">
        <f t="shared" ref="O153:T153" si="72">+O154+O155+O158+O164+O165+O166+O167+O168</f>
        <v>0</v>
      </c>
      <c r="P153" s="1136">
        <f t="shared" si="72"/>
        <v>157142618</v>
      </c>
      <c r="Q153" s="1136">
        <f t="shared" si="72"/>
        <v>0</v>
      </c>
      <c r="R153" s="1136">
        <f t="shared" si="72"/>
        <v>0</v>
      </c>
      <c r="S153" s="1136">
        <f t="shared" si="72"/>
        <v>0</v>
      </c>
      <c r="T153" s="1136">
        <f t="shared" si="72"/>
        <v>325367535.36000001</v>
      </c>
      <c r="U153" s="1131" t="e">
        <f t="shared" si="62"/>
        <v>#DIV/0!</v>
      </c>
      <c r="V153" s="1127"/>
      <c r="W153" s="1126" t="s">
        <v>1293</v>
      </c>
      <c r="X153" s="1126"/>
      <c r="Y153" s="1113" t="s">
        <v>1136</v>
      </c>
    </row>
    <row r="154" spans="1:25" s="1" customFormat="1" ht="22.5" customHeight="1" thickTop="1" thickBot="1" x14ac:dyDescent="0.3">
      <c r="A154" s="564" t="s">
        <v>127</v>
      </c>
      <c r="B154" s="565" t="s">
        <v>134</v>
      </c>
      <c r="C154" s="565" t="s">
        <v>134</v>
      </c>
      <c r="D154" s="565" t="s">
        <v>134</v>
      </c>
      <c r="E154" s="565" t="s">
        <v>129</v>
      </c>
      <c r="F154" s="565"/>
      <c r="G154" s="565"/>
      <c r="H154" s="91"/>
      <c r="I154" s="91"/>
      <c r="J154" s="566" t="s">
        <v>1294</v>
      </c>
      <c r="K154" s="1138">
        <f t="shared" ref="K154:R154" si="73">+K155+K156+K157+K158+K164+K165+K170</f>
        <v>157142618</v>
      </c>
      <c r="L154" s="1138">
        <f>+L155+L156+L157+L158+L164+L165+L170</f>
        <v>0</v>
      </c>
      <c r="M154" s="1138">
        <f>+M155+M156+M157+M158+M164+M165+M170</f>
        <v>0</v>
      </c>
      <c r="N154" s="1138">
        <f t="shared" si="64"/>
        <v>157142618</v>
      </c>
      <c r="O154" s="1138">
        <f t="shared" si="73"/>
        <v>0</v>
      </c>
      <c r="P154" s="1138">
        <f t="shared" si="73"/>
        <v>157142618</v>
      </c>
      <c r="Q154" s="1138">
        <f t="shared" si="73"/>
        <v>0</v>
      </c>
      <c r="R154" s="1138">
        <f t="shared" si="73"/>
        <v>0</v>
      </c>
      <c r="S154" s="1138">
        <f>+S155+S156+S157+S158+S164+S165+S170</f>
        <v>0</v>
      </c>
      <c r="T154" s="1138">
        <f>+T155+T156+T157+T158+T164+T165+T170</f>
        <v>325367535.36000001</v>
      </c>
      <c r="U154" s="1133" t="e">
        <f t="shared" si="62"/>
        <v>#DIV/0!</v>
      </c>
      <c r="V154" s="564"/>
      <c r="W154" s="564" t="s">
        <v>1295</v>
      </c>
      <c r="X154" s="564"/>
      <c r="Y154" s="1113" t="s">
        <v>1136</v>
      </c>
    </row>
    <row r="155" spans="1:25" ht="22.5" customHeight="1" thickTop="1" thickBot="1" x14ac:dyDescent="0.3">
      <c r="A155" s="28" t="s">
        <v>127</v>
      </c>
      <c r="B155" s="91" t="s">
        <v>134</v>
      </c>
      <c r="C155" s="91" t="s">
        <v>134</v>
      </c>
      <c r="D155" s="91" t="s">
        <v>134</v>
      </c>
      <c r="E155" s="91" t="s">
        <v>129</v>
      </c>
      <c r="F155" s="565" t="s">
        <v>129</v>
      </c>
      <c r="G155" s="91"/>
      <c r="H155" s="91"/>
      <c r="I155" s="91"/>
      <c r="J155" s="566" t="s">
        <v>1296</v>
      </c>
      <c r="K155" s="1139"/>
      <c r="L155" s="1139"/>
      <c r="M155" s="1139"/>
      <c r="N155" s="1139">
        <f t="shared" si="64"/>
        <v>0</v>
      </c>
      <c r="O155" s="1139"/>
      <c r="P155" s="1139"/>
      <c r="Q155" s="1139"/>
      <c r="R155" s="1139"/>
      <c r="S155" s="1139"/>
      <c r="T155" s="1139"/>
      <c r="U155" s="1134" t="e">
        <f t="shared" si="62"/>
        <v>#DIV/0!</v>
      </c>
      <c r="V155" s="28"/>
      <c r="W155" s="28"/>
      <c r="X155" s="28"/>
      <c r="Y155" s="1113" t="s">
        <v>1136</v>
      </c>
    </row>
    <row r="156" spans="1:25" ht="22.5" customHeight="1" thickTop="1" thickBot="1" x14ac:dyDescent="0.3">
      <c r="A156" s="28" t="s">
        <v>127</v>
      </c>
      <c r="B156" s="91" t="s">
        <v>134</v>
      </c>
      <c r="C156" s="91" t="s">
        <v>134</v>
      </c>
      <c r="D156" s="91" t="s">
        <v>134</v>
      </c>
      <c r="E156" s="91" t="s">
        <v>129</v>
      </c>
      <c r="F156" s="91" t="s">
        <v>129</v>
      </c>
      <c r="G156" s="565" t="s">
        <v>129</v>
      </c>
      <c r="H156" s="91"/>
      <c r="I156" s="91"/>
      <c r="J156" s="88" t="s">
        <v>1297</v>
      </c>
      <c r="K156" s="1139">
        <v>157142618</v>
      </c>
      <c r="L156" s="1139"/>
      <c r="M156" s="1139"/>
      <c r="N156" s="30">
        <f t="shared" si="64"/>
        <v>157142618</v>
      </c>
      <c r="O156" s="1139"/>
      <c r="P156" s="30">
        <f>+N156</f>
        <v>157142618</v>
      </c>
      <c r="Q156" s="1139"/>
      <c r="R156" s="1139"/>
      <c r="S156" s="1139"/>
      <c r="T156" s="1139">
        <v>325367535.36000001</v>
      </c>
      <c r="U156" s="1134" t="e">
        <f t="shared" si="62"/>
        <v>#DIV/0!</v>
      </c>
      <c r="V156" s="28"/>
      <c r="W156" s="28"/>
      <c r="X156" s="28"/>
      <c r="Y156" s="1113" t="s">
        <v>1136</v>
      </c>
    </row>
    <row r="157" spans="1:25" ht="22.5" customHeight="1" thickTop="1" thickBot="1" x14ac:dyDescent="0.3">
      <c r="A157" s="28" t="s">
        <v>127</v>
      </c>
      <c r="B157" s="91" t="s">
        <v>134</v>
      </c>
      <c r="C157" s="91" t="s">
        <v>134</v>
      </c>
      <c r="D157" s="91" t="s">
        <v>134</v>
      </c>
      <c r="E157" s="91" t="s">
        <v>129</v>
      </c>
      <c r="F157" s="565" t="s">
        <v>134</v>
      </c>
      <c r="G157" s="91"/>
      <c r="H157" s="91"/>
      <c r="I157" s="91"/>
      <c r="J157" s="566" t="s">
        <v>1298</v>
      </c>
      <c r="K157" s="1139"/>
      <c r="L157" s="1139"/>
      <c r="M157" s="1139"/>
      <c r="N157" s="1139">
        <f t="shared" si="64"/>
        <v>0</v>
      </c>
      <c r="O157" s="1139"/>
      <c r="P157" s="1139"/>
      <c r="Q157" s="1139"/>
      <c r="R157" s="1139"/>
      <c r="S157" s="1139"/>
      <c r="T157" s="1139"/>
      <c r="U157" s="1134" t="e">
        <f t="shared" si="62"/>
        <v>#DIV/0!</v>
      </c>
      <c r="V157" s="28"/>
      <c r="W157" s="28"/>
      <c r="X157" s="28"/>
      <c r="Y157" s="1113" t="s">
        <v>1136</v>
      </c>
    </row>
    <row r="158" spans="1:25" ht="22.5" customHeight="1" thickTop="1" thickBot="1" x14ac:dyDescent="0.3">
      <c r="A158" s="28" t="s">
        <v>127</v>
      </c>
      <c r="B158" s="91" t="s">
        <v>134</v>
      </c>
      <c r="C158" s="91" t="s">
        <v>134</v>
      </c>
      <c r="D158" s="91" t="s">
        <v>134</v>
      </c>
      <c r="E158" s="91" t="s">
        <v>129</v>
      </c>
      <c r="F158" s="565" t="s">
        <v>139</v>
      </c>
      <c r="G158" s="91"/>
      <c r="H158" s="91"/>
      <c r="I158" s="91"/>
      <c r="J158" s="566" t="s">
        <v>1299</v>
      </c>
      <c r="K158" s="1138">
        <f>SUM(K159:K163)</f>
        <v>0</v>
      </c>
      <c r="L158" s="1138">
        <f>SUM(L159:L163)</f>
        <v>0</v>
      </c>
      <c r="M158" s="1138">
        <f>SUM(M159:M163)</f>
        <v>0</v>
      </c>
      <c r="N158" s="1138">
        <f t="shared" si="64"/>
        <v>0</v>
      </c>
      <c r="O158" s="1138">
        <f t="shared" ref="O158:T158" si="74">SUM(O159:O163)</f>
        <v>0</v>
      </c>
      <c r="P158" s="1138">
        <f t="shared" si="74"/>
        <v>0</v>
      </c>
      <c r="Q158" s="1138">
        <f t="shared" si="74"/>
        <v>0</v>
      </c>
      <c r="R158" s="1138">
        <f t="shared" si="74"/>
        <v>0</v>
      </c>
      <c r="S158" s="1138">
        <f>SUM(S159:S163)</f>
        <v>0</v>
      </c>
      <c r="T158" s="1138">
        <f t="shared" si="74"/>
        <v>0</v>
      </c>
      <c r="U158" s="1133" t="e">
        <f t="shared" si="62"/>
        <v>#DIV/0!</v>
      </c>
      <c r="V158" s="28"/>
      <c r="W158" s="28"/>
      <c r="X158" s="28"/>
      <c r="Y158" s="1113" t="s">
        <v>1136</v>
      </c>
    </row>
    <row r="159" spans="1:25" ht="22.5" customHeight="1" thickTop="1" thickBot="1" x14ac:dyDescent="0.3">
      <c r="A159" s="28" t="s">
        <v>127</v>
      </c>
      <c r="B159" s="91" t="s">
        <v>134</v>
      </c>
      <c r="C159" s="91" t="s">
        <v>134</v>
      </c>
      <c r="D159" s="91" t="s">
        <v>134</v>
      </c>
      <c r="E159" s="91" t="s">
        <v>129</v>
      </c>
      <c r="F159" s="91" t="s">
        <v>139</v>
      </c>
      <c r="G159" s="565" t="s">
        <v>129</v>
      </c>
      <c r="H159" s="91"/>
      <c r="I159" s="91"/>
      <c r="J159" s="88" t="s">
        <v>1300</v>
      </c>
      <c r="K159" s="1139"/>
      <c r="L159" s="1139"/>
      <c r="M159" s="1139"/>
      <c r="N159" s="1139">
        <f t="shared" si="64"/>
        <v>0</v>
      </c>
      <c r="O159" s="1139"/>
      <c r="P159" s="1139"/>
      <c r="Q159" s="1139"/>
      <c r="R159" s="1139"/>
      <c r="S159" s="1139"/>
      <c r="T159" s="1139"/>
      <c r="U159" s="1134" t="e">
        <f t="shared" si="62"/>
        <v>#DIV/0!</v>
      </c>
      <c r="V159" s="28"/>
      <c r="W159" s="28"/>
      <c r="X159" s="28"/>
      <c r="Y159" s="1113" t="s">
        <v>1136</v>
      </c>
    </row>
    <row r="160" spans="1:25" ht="22.5" customHeight="1" thickTop="1" thickBot="1" x14ac:dyDescent="0.3">
      <c r="A160" s="28" t="s">
        <v>127</v>
      </c>
      <c r="B160" s="91" t="s">
        <v>134</v>
      </c>
      <c r="C160" s="91" t="s">
        <v>134</v>
      </c>
      <c r="D160" s="91" t="s">
        <v>134</v>
      </c>
      <c r="E160" s="91" t="s">
        <v>129</v>
      </c>
      <c r="F160" s="91" t="s">
        <v>139</v>
      </c>
      <c r="G160" s="565" t="s">
        <v>134</v>
      </c>
      <c r="H160" s="91"/>
      <c r="I160" s="91"/>
      <c r="J160" s="88" t="s">
        <v>1301</v>
      </c>
      <c r="K160" s="1139"/>
      <c r="L160" s="1139"/>
      <c r="M160" s="1139"/>
      <c r="N160" s="1139">
        <f t="shared" si="64"/>
        <v>0</v>
      </c>
      <c r="O160" s="1139"/>
      <c r="P160" s="1139"/>
      <c r="Q160" s="1139"/>
      <c r="R160" s="1139"/>
      <c r="S160" s="1139"/>
      <c r="T160" s="1139"/>
      <c r="U160" s="1134" t="e">
        <f t="shared" si="62"/>
        <v>#DIV/0!</v>
      </c>
      <c r="V160" s="28"/>
      <c r="W160" s="28"/>
      <c r="X160" s="28"/>
      <c r="Y160" s="1113" t="s">
        <v>1136</v>
      </c>
    </row>
    <row r="161" spans="1:25" ht="22.5" customHeight="1" thickTop="1" thickBot="1" x14ac:dyDescent="0.3">
      <c r="A161" s="28" t="s">
        <v>127</v>
      </c>
      <c r="B161" s="91" t="s">
        <v>134</v>
      </c>
      <c r="C161" s="91" t="s">
        <v>134</v>
      </c>
      <c r="D161" s="91" t="s">
        <v>134</v>
      </c>
      <c r="E161" s="91" t="s">
        <v>129</v>
      </c>
      <c r="F161" s="91" t="s">
        <v>139</v>
      </c>
      <c r="G161" s="565" t="s">
        <v>139</v>
      </c>
      <c r="H161" s="91"/>
      <c r="I161" s="91"/>
      <c r="J161" s="88" t="s">
        <v>1302</v>
      </c>
      <c r="K161" s="1139"/>
      <c r="L161" s="1139"/>
      <c r="M161" s="1139"/>
      <c r="N161" s="1139">
        <f t="shared" si="64"/>
        <v>0</v>
      </c>
      <c r="O161" s="1139"/>
      <c r="P161" s="1139"/>
      <c r="Q161" s="1139"/>
      <c r="R161" s="1139"/>
      <c r="S161" s="1139"/>
      <c r="T161" s="1139"/>
      <c r="U161" s="1134" t="e">
        <f t="shared" si="62"/>
        <v>#DIV/0!</v>
      </c>
      <c r="V161" s="28"/>
      <c r="W161" s="28"/>
      <c r="X161" s="28"/>
      <c r="Y161" s="1113" t="s">
        <v>1136</v>
      </c>
    </row>
    <row r="162" spans="1:25" ht="22.5" customHeight="1" thickTop="1" thickBot="1" x14ac:dyDescent="0.3">
      <c r="A162" s="28" t="s">
        <v>127</v>
      </c>
      <c r="B162" s="91" t="s">
        <v>134</v>
      </c>
      <c r="C162" s="91" t="s">
        <v>134</v>
      </c>
      <c r="D162" s="91" t="s">
        <v>134</v>
      </c>
      <c r="E162" s="91" t="s">
        <v>129</v>
      </c>
      <c r="F162" s="91" t="s">
        <v>139</v>
      </c>
      <c r="G162" s="565" t="s">
        <v>140</v>
      </c>
      <c r="H162" s="91"/>
      <c r="I162" s="91"/>
      <c r="J162" s="88" t="s">
        <v>1303</v>
      </c>
      <c r="K162" s="1139"/>
      <c r="L162" s="1139"/>
      <c r="M162" s="1139"/>
      <c r="N162" s="1139">
        <f t="shared" si="64"/>
        <v>0</v>
      </c>
      <c r="O162" s="1139"/>
      <c r="P162" s="1139"/>
      <c r="Q162" s="1139"/>
      <c r="R162" s="1139"/>
      <c r="S162" s="1139"/>
      <c r="T162" s="1139"/>
      <c r="U162" s="1134" t="e">
        <f t="shared" si="62"/>
        <v>#DIV/0!</v>
      </c>
      <c r="V162" s="28"/>
      <c r="W162" s="28"/>
      <c r="X162" s="28"/>
      <c r="Y162" s="1113" t="s">
        <v>1136</v>
      </c>
    </row>
    <row r="163" spans="1:25" ht="22.5" customHeight="1" thickTop="1" thickBot="1" x14ac:dyDescent="0.3">
      <c r="A163" s="28" t="s">
        <v>127</v>
      </c>
      <c r="B163" s="91" t="s">
        <v>134</v>
      </c>
      <c r="C163" s="91" t="s">
        <v>134</v>
      </c>
      <c r="D163" s="91" t="s">
        <v>134</v>
      </c>
      <c r="E163" s="91" t="s">
        <v>129</v>
      </c>
      <c r="F163" s="91" t="s">
        <v>139</v>
      </c>
      <c r="G163" s="565" t="s">
        <v>144</v>
      </c>
      <c r="H163" s="91"/>
      <c r="I163" s="91"/>
      <c r="J163" s="88" t="s">
        <v>1304</v>
      </c>
      <c r="K163" s="1139"/>
      <c r="L163" s="1139"/>
      <c r="M163" s="1139"/>
      <c r="N163" s="1139">
        <f t="shared" si="64"/>
        <v>0</v>
      </c>
      <c r="O163" s="1139"/>
      <c r="P163" s="1139"/>
      <c r="Q163" s="1139"/>
      <c r="R163" s="1139"/>
      <c r="S163" s="1139"/>
      <c r="T163" s="1139"/>
      <c r="U163" s="1134" t="e">
        <f t="shared" si="62"/>
        <v>#DIV/0!</v>
      </c>
      <c r="V163" s="28"/>
      <c r="W163" s="28"/>
      <c r="X163" s="28"/>
      <c r="Y163" s="1113" t="s">
        <v>1136</v>
      </c>
    </row>
    <row r="164" spans="1:25" ht="22.5" customHeight="1" thickTop="1" thickBot="1" x14ac:dyDescent="0.3">
      <c r="A164" s="28" t="s">
        <v>127</v>
      </c>
      <c r="B164" s="91" t="s">
        <v>134</v>
      </c>
      <c r="C164" s="91" t="s">
        <v>134</v>
      </c>
      <c r="D164" s="91" t="s">
        <v>134</v>
      </c>
      <c r="E164" s="91" t="s">
        <v>129</v>
      </c>
      <c r="F164" s="565" t="s">
        <v>140</v>
      </c>
      <c r="G164" s="91"/>
      <c r="H164" s="91"/>
      <c r="I164" s="91"/>
      <c r="J164" s="566" t="s">
        <v>1305</v>
      </c>
      <c r="K164" s="1138"/>
      <c r="L164" s="1138"/>
      <c r="M164" s="1138"/>
      <c r="N164" s="1138">
        <f t="shared" si="64"/>
        <v>0</v>
      </c>
      <c r="O164" s="1138"/>
      <c r="P164" s="1138"/>
      <c r="Q164" s="1138"/>
      <c r="R164" s="1138"/>
      <c r="S164" s="1138"/>
      <c r="T164" s="1138"/>
      <c r="U164" s="1133" t="e">
        <f t="shared" si="62"/>
        <v>#DIV/0!</v>
      </c>
      <c r="V164" s="28"/>
      <c r="W164" s="28"/>
      <c r="X164" s="28"/>
      <c r="Y164" s="1113" t="s">
        <v>1136</v>
      </c>
    </row>
    <row r="165" spans="1:25" ht="22.5" customHeight="1" thickTop="1" thickBot="1" x14ac:dyDescent="0.3">
      <c r="A165" s="28" t="s">
        <v>127</v>
      </c>
      <c r="B165" s="91" t="s">
        <v>134</v>
      </c>
      <c r="C165" s="91" t="s">
        <v>134</v>
      </c>
      <c r="D165" s="91" t="s">
        <v>134</v>
      </c>
      <c r="E165" s="91" t="s">
        <v>129</v>
      </c>
      <c r="F165" s="565" t="s">
        <v>144</v>
      </c>
      <c r="G165" s="91"/>
      <c r="H165" s="91"/>
      <c r="I165" s="91"/>
      <c r="J165" s="566" t="s">
        <v>1306</v>
      </c>
      <c r="K165" s="1138"/>
      <c r="L165" s="1138"/>
      <c r="M165" s="1138"/>
      <c r="N165" s="1138">
        <f t="shared" si="64"/>
        <v>0</v>
      </c>
      <c r="O165" s="1138"/>
      <c r="P165" s="1138"/>
      <c r="Q165" s="1138"/>
      <c r="R165" s="1138"/>
      <c r="S165" s="1138"/>
      <c r="T165" s="1138"/>
      <c r="U165" s="1133" t="e">
        <f t="shared" si="62"/>
        <v>#DIV/0!</v>
      </c>
      <c r="V165" s="28"/>
      <c r="W165" s="28"/>
      <c r="X165" s="28"/>
      <c r="Y165" s="1113" t="s">
        <v>1136</v>
      </c>
    </row>
    <row r="166" spans="1:25" ht="22.5" customHeight="1" thickTop="1" thickBot="1" x14ac:dyDescent="0.3">
      <c r="A166" s="28" t="s">
        <v>127</v>
      </c>
      <c r="B166" s="91" t="s">
        <v>134</v>
      </c>
      <c r="C166" s="91" t="s">
        <v>134</v>
      </c>
      <c r="D166" s="91" t="s">
        <v>134</v>
      </c>
      <c r="E166" s="91" t="s">
        <v>129</v>
      </c>
      <c r="F166" s="565" t="s">
        <v>145</v>
      </c>
      <c r="G166" s="91"/>
      <c r="H166" s="91"/>
      <c r="I166" s="91"/>
      <c r="J166" s="566" t="s">
        <v>1307</v>
      </c>
      <c r="K166" s="1138"/>
      <c r="L166" s="1138"/>
      <c r="M166" s="1138"/>
      <c r="N166" s="1138">
        <f t="shared" si="64"/>
        <v>0</v>
      </c>
      <c r="O166" s="1138"/>
      <c r="P166" s="1138"/>
      <c r="Q166" s="1138"/>
      <c r="R166" s="1138"/>
      <c r="S166" s="1138"/>
      <c r="T166" s="1138"/>
      <c r="U166" s="1133" t="e">
        <f t="shared" si="62"/>
        <v>#DIV/0!</v>
      </c>
      <c r="V166" s="28"/>
      <c r="W166" s="28"/>
      <c r="X166" s="28"/>
      <c r="Y166" s="1113"/>
    </row>
    <row r="167" spans="1:25" ht="22.5" customHeight="1" thickTop="1" thickBot="1" x14ac:dyDescent="0.3">
      <c r="A167" s="28" t="s">
        <v>127</v>
      </c>
      <c r="B167" s="91" t="s">
        <v>134</v>
      </c>
      <c r="C167" s="91" t="s">
        <v>134</v>
      </c>
      <c r="D167" s="91" t="s">
        <v>134</v>
      </c>
      <c r="E167" s="91" t="s">
        <v>129</v>
      </c>
      <c r="F167" s="565" t="s">
        <v>146</v>
      </c>
      <c r="G167" s="91"/>
      <c r="H167" s="91"/>
      <c r="I167" s="91"/>
      <c r="J167" s="566" t="s">
        <v>1308</v>
      </c>
      <c r="K167" s="1138"/>
      <c r="L167" s="1138"/>
      <c r="M167" s="1138"/>
      <c r="N167" s="1138">
        <f t="shared" si="64"/>
        <v>0</v>
      </c>
      <c r="O167" s="1138"/>
      <c r="P167" s="1138"/>
      <c r="Q167" s="1138"/>
      <c r="R167" s="1138"/>
      <c r="S167" s="1138"/>
      <c r="T167" s="1138"/>
      <c r="U167" s="1133" t="e">
        <f t="shared" si="62"/>
        <v>#DIV/0!</v>
      </c>
      <c r="V167" s="28"/>
      <c r="W167" s="28"/>
      <c r="X167" s="28"/>
      <c r="Y167" s="1113"/>
    </row>
    <row r="168" spans="1:25" ht="22.5" customHeight="1" thickTop="1" thickBot="1" x14ac:dyDescent="0.3">
      <c r="A168" s="28" t="s">
        <v>127</v>
      </c>
      <c r="B168" s="91" t="s">
        <v>134</v>
      </c>
      <c r="C168" s="91" t="s">
        <v>134</v>
      </c>
      <c r="D168" s="91" t="s">
        <v>134</v>
      </c>
      <c r="E168" s="91" t="s">
        <v>129</v>
      </c>
      <c r="F168" s="91" t="s">
        <v>147</v>
      </c>
      <c r="G168" s="1142"/>
      <c r="H168" s="1143"/>
      <c r="I168" s="91"/>
      <c r="J168" s="566" t="s">
        <v>1309</v>
      </c>
      <c r="K168" s="1137">
        <f>+K169</f>
        <v>0</v>
      </c>
      <c r="L168" s="1137">
        <f>+L169</f>
        <v>0</v>
      </c>
      <c r="M168" s="1137">
        <f>+M169</f>
        <v>0</v>
      </c>
      <c r="N168" s="1137">
        <f t="shared" si="64"/>
        <v>0</v>
      </c>
      <c r="O168" s="1137">
        <f t="shared" ref="O168:T168" si="75">+O169</f>
        <v>0</v>
      </c>
      <c r="P168" s="1137">
        <f t="shared" si="75"/>
        <v>0</v>
      </c>
      <c r="Q168" s="1137">
        <f t="shared" si="75"/>
        <v>0</v>
      </c>
      <c r="R168" s="1137">
        <f t="shared" si="75"/>
        <v>0</v>
      </c>
      <c r="S168" s="1137">
        <f>+S169</f>
        <v>0</v>
      </c>
      <c r="T168" s="1137">
        <f t="shared" si="75"/>
        <v>0</v>
      </c>
      <c r="U168" s="1135" t="e">
        <f t="shared" si="62"/>
        <v>#DIV/0!</v>
      </c>
      <c r="V168" s="28"/>
      <c r="W168" s="28"/>
      <c r="X168" s="28"/>
      <c r="Y168" s="1113"/>
    </row>
    <row r="169" spans="1:25" ht="22.5" customHeight="1" thickTop="1" thickBot="1" x14ac:dyDescent="0.3">
      <c r="A169" s="28" t="s">
        <v>127</v>
      </c>
      <c r="B169" s="91" t="s">
        <v>134</v>
      </c>
      <c r="C169" s="91" t="s">
        <v>134</v>
      </c>
      <c r="D169" s="91" t="s">
        <v>134</v>
      </c>
      <c r="E169" s="91" t="s">
        <v>129</v>
      </c>
      <c r="F169" s="91" t="s">
        <v>147</v>
      </c>
      <c r="G169" s="1143" t="s">
        <v>129</v>
      </c>
      <c r="H169" s="1143"/>
      <c r="I169" s="91"/>
      <c r="J169" s="88" t="s">
        <v>1310</v>
      </c>
      <c r="K169" s="1138"/>
      <c r="L169" s="1138"/>
      <c r="M169" s="1138"/>
      <c r="N169" s="1138">
        <f t="shared" si="64"/>
        <v>0</v>
      </c>
      <c r="O169" s="1138"/>
      <c r="P169" s="1138"/>
      <c r="Q169" s="1138"/>
      <c r="R169" s="1138"/>
      <c r="S169" s="1138"/>
      <c r="T169" s="1138"/>
      <c r="U169" s="1133" t="e">
        <f t="shared" si="62"/>
        <v>#DIV/0!</v>
      </c>
      <c r="V169" s="28"/>
      <c r="W169" s="28"/>
      <c r="X169" s="28"/>
      <c r="Y169" s="1113"/>
    </row>
    <row r="170" spans="1:25" s="1" customFormat="1" ht="22.5" customHeight="1" thickTop="1" thickBot="1" x14ac:dyDescent="0.3">
      <c r="A170" s="1126" t="s">
        <v>127</v>
      </c>
      <c r="B170" s="1127" t="s">
        <v>134</v>
      </c>
      <c r="C170" s="1127" t="s">
        <v>134</v>
      </c>
      <c r="D170" s="1127" t="s">
        <v>139</v>
      </c>
      <c r="E170" s="1127"/>
      <c r="F170" s="1127"/>
      <c r="G170" s="1127"/>
      <c r="H170" s="1128"/>
      <c r="I170" s="1128"/>
      <c r="J170" s="1129" t="s">
        <v>1311</v>
      </c>
      <c r="K170" s="1136">
        <f>+K171+K175+K176+K177+K178+K179+K180+K181+K182+K183+K184+K185</f>
        <v>0</v>
      </c>
      <c r="L170" s="1136">
        <f>+L171+L175+L176+L177+L178+L179+L180+L181+L182+L183+L184+L185</f>
        <v>0</v>
      </c>
      <c r="M170" s="1136">
        <f>+M171+M175+M176+M177+M178+M179+M180+M181+M182+M183+M184+M185</f>
        <v>0</v>
      </c>
      <c r="N170" s="1136">
        <f t="shared" si="64"/>
        <v>0</v>
      </c>
      <c r="O170" s="1136">
        <f t="shared" ref="O170:T170" si="76">+O171+O175+O176+O177+O178+O179+O180+O181+O182+O183+O184+O185</f>
        <v>0</v>
      </c>
      <c r="P170" s="1136">
        <f t="shared" si="76"/>
        <v>0</v>
      </c>
      <c r="Q170" s="1136">
        <f t="shared" si="76"/>
        <v>0</v>
      </c>
      <c r="R170" s="1136">
        <f t="shared" si="76"/>
        <v>0</v>
      </c>
      <c r="S170" s="1136">
        <f>+S171+S175+S176+S177+S178+S179+S180+S181+S182+S183+S184+S185</f>
        <v>0</v>
      </c>
      <c r="T170" s="1136">
        <f t="shared" si="76"/>
        <v>0</v>
      </c>
      <c r="U170" s="1131" t="e">
        <f t="shared" si="62"/>
        <v>#DIV/0!</v>
      </c>
      <c r="V170" s="1127"/>
      <c r="W170" s="1126"/>
      <c r="X170" s="1126"/>
      <c r="Y170" s="1113" t="s">
        <v>1136</v>
      </c>
    </row>
    <row r="171" spans="1:25" s="1" customFormat="1" ht="22.5" customHeight="1" thickTop="1" thickBot="1" x14ac:dyDescent="0.3">
      <c r="A171" s="564">
        <v>1</v>
      </c>
      <c r="B171" s="565" t="s">
        <v>134</v>
      </c>
      <c r="C171" s="565" t="s">
        <v>134</v>
      </c>
      <c r="D171" s="565" t="s">
        <v>139</v>
      </c>
      <c r="E171" s="565" t="s">
        <v>129</v>
      </c>
      <c r="F171" s="565"/>
      <c r="G171" s="565"/>
      <c r="H171" s="91"/>
      <c r="I171" s="91"/>
      <c r="J171" s="566" t="s">
        <v>1312</v>
      </c>
      <c r="K171" s="1137">
        <f>+K172+K173+K174</f>
        <v>0</v>
      </c>
      <c r="L171" s="1137">
        <f>+L172+L173+L174</f>
        <v>0</v>
      </c>
      <c r="M171" s="1137">
        <f>+M172+M173+M174</f>
        <v>0</v>
      </c>
      <c r="N171" s="1137">
        <f t="shared" si="64"/>
        <v>0</v>
      </c>
      <c r="O171" s="1137">
        <f t="shared" ref="O171:T171" si="77">+O172+O173+O174</f>
        <v>0</v>
      </c>
      <c r="P171" s="1137">
        <f t="shared" si="77"/>
        <v>0</v>
      </c>
      <c r="Q171" s="1137">
        <f t="shared" si="77"/>
        <v>0</v>
      </c>
      <c r="R171" s="1137">
        <f t="shared" si="77"/>
        <v>0</v>
      </c>
      <c r="S171" s="1137">
        <f>+S172+S173+S174</f>
        <v>0</v>
      </c>
      <c r="T171" s="1137">
        <f t="shared" si="77"/>
        <v>0</v>
      </c>
      <c r="U171" s="1135" t="e">
        <f t="shared" si="62"/>
        <v>#DIV/0!</v>
      </c>
      <c r="V171" s="564"/>
      <c r="W171" s="564"/>
      <c r="X171" s="564"/>
      <c r="Y171" s="1113"/>
    </row>
    <row r="172" spans="1:25" ht="22.5" customHeight="1" thickTop="1" thickBot="1" x14ac:dyDescent="0.3">
      <c r="A172" s="28">
        <v>1</v>
      </c>
      <c r="B172" s="91" t="s">
        <v>134</v>
      </c>
      <c r="C172" s="91" t="s">
        <v>134</v>
      </c>
      <c r="D172" s="91" t="s">
        <v>139</v>
      </c>
      <c r="E172" s="91" t="s">
        <v>129</v>
      </c>
      <c r="F172" s="565" t="s">
        <v>129</v>
      </c>
      <c r="G172" s="91"/>
      <c r="H172" s="91"/>
      <c r="I172" s="91"/>
      <c r="J172" s="539" t="s">
        <v>1313</v>
      </c>
      <c r="K172" s="1137"/>
      <c r="L172" s="1137"/>
      <c r="M172" s="1137"/>
      <c r="N172" s="1137">
        <f t="shared" si="64"/>
        <v>0</v>
      </c>
      <c r="O172" s="1137"/>
      <c r="P172" s="1137"/>
      <c r="Q172" s="1137"/>
      <c r="R172" s="1137"/>
      <c r="S172" s="1137"/>
      <c r="T172" s="1137"/>
      <c r="U172" s="1135" t="e">
        <f t="shared" si="62"/>
        <v>#DIV/0!</v>
      </c>
      <c r="V172" s="28"/>
      <c r="W172" s="28"/>
      <c r="X172" s="28"/>
      <c r="Y172" s="1113"/>
    </row>
    <row r="173" spans="1:25" ht="22.5" customHeight="1" thickTop="1" thickBot="1" x14ac:dyDescent="0.3">
      <c r="A173" s="28">
        <v>1</v>
      </c>
      <c r="B173" s="91" t="s">
        <v>134</v>
      </c>
      <c r="C173" s="91" t="s">
        <v>134</v>
      </c>
      <c r="D173" s="91" t="s">
        <v>139</v>
      </c>
      <c r="E173" s="91" t="s">
        <v>129</v>
      </c>
      <c r="F173" s="565" t="s">
        <v>134</v>
      </c>
      <c r="G173" s="91"/>
      <c r="H173" s="91"/>
      <c r="I173" s="91"/>
      <c r="J173" s="539" t="s">
        <v>1314</v>
      </c>
      <c r="K173" s="1137"/>
      <c r="L173" s="1137"/>
      <c r="M173" s="1137"/>
      <c r="N173" s="1137">
        <f t="shared" si="64"/>
        <v>0</v>
      </c>
      <c r="O173" s="1137"/>
      <c r="P173" s="1137"/>
      <c r="Q173" s="1137"/>
      <c r="R173" s="1137"/>
      <c r="S173" s="1137"/>
      <c r="T173" s="1137"/>
      <c r="U173" s="1135" t="e">
        <f t="shared" si="62"/>
        <v>#DIV/0!</v>
      </c>
      <c r="V173" s="28"/>
      <c r="W173" s="28"/>
      <c r="X173" s="28"/>
      <c r="Y173" s="1113"/>
    </row>
    <row r="174" spans="1:25" ht="22.5" customHeight="1" thickTop="1" thickBot="1" x14ac:dyDescent="0.3">
      <c r="A174" s="28">
        <v>1</v>
      </c>
      <c r="B174" s="91" t="s">
        <v>134</v>
      </c>
      <c r="C174" s="91" t="s">
        <v>134</v>
      </c>
      <c r="D174" s="91" t="s">
        <v>139</v>
      </c>
      <c r="E174" s="91" t="s">
        <v>129</v>
      </c>
      <c r="F174" s="565" t="s">
        <v>139</v>
      </c>
      <c r="G174" s="91"/>
      <c r="H174" s="91"/>
      <c r="I174" s="91"/>
      <c r="J174" s="539" t="s">
        <v>1315</v>
      </c>
      <c r="K174" s="1137"/>
      <c r="L174" s="1137"/>
      <c r="M174" s="1137"/>
      <c r="N174" s="1137">
        <f t="shared" si="64"/>
        <v>0</v>
      </c>
      <c r="O174" s="1137"/>
      <c r="P174" s="1137"/>
      <c r="Q174" s="1137"/>
      <c r="R174" s="1137"/>
      <c r="S174" s="1137"/>
      <c r="T174" s="1137"/>
      <c r="U174" s="1135" t="e">
        <f t="shared" si="62"/>
        <v>#DIV/0!</v>
      </c>
      <c r="V174" s="28"/>
      <c r="W174" s="28"/>
      <c r="X174" s="28"/>
      <c r="Y174" s="1113"/>
    </row>
    <row r="175" spans="1:25" s="1" customFormat="1" ht="22.5" customHeight="1" thickTop="1" thickBot="1" x14ac:dyDescent="0.3">
      <c r="A175" s="564">
        <v>1</v>
      </c>
      <c r="B175" s="565" t="s">
        <v>134</v>
      </c>
      <c r="C175" s="565" t="s">
        <v>134</v>
      </c>
      <c r="D175" s="565" t="s">
        <v>139</v>
      </c>
      <c r="E175" s="565" t="s">
        <v>134</v>
      </c>
      <c r="F175" s="565"/>
      <c r="G175" s="565"/>
      <c r="H175" s="91"/>
      <c r="I175" s="91"/>
      <c r="J175" s="566" t="s">
        <v>1316</v>
      </c>
      <c r="K175" s="1138"/>
      <c r="L175" s="1138"/>
      <c r="M175" s="1138"/>
      <c r="N175" s="1138">
        <f t="shared" si="64"/>
        <v>0</v>
      </c>
      <c r="O175" s="1138"/>
      <c r="P175" s="1138"/>
      <c r="Q175" s="1138"/>
      <c r="R175" s="1138"/>
      <c r="S175" s="1138"/>
      <c r="T175" s="1138"/>
      <c r="U175" s="1133" t="e">
        <f t="shared" si="62"/>
        <v>#DIV/0!</v>
      </c>
      <c r="V175" s="564"/>
      <c r="W175" s="564"/>
      <c r="X175" s="564"/>
      <c r="Y175" s="1113" t="s">
        <v>1136</v>
      </c>
    </row>
    <row r="176" spans="1:25" s="1" customFormat="1" ht="22.5" customHeight="1" thickTop="1" thickBot="1" x14ac:dyDescent="0.3">
      <c r="A176" s="564" t="s">
        <v>127</v>
      </c>
      <c r="B176" s="565" t="s">
        <v>134</v>
      </c>
      <c r="C176" s="565" t="s">
        <v>134</v>
      </c>
      <c r="D176" s="565" t="s">
        <v>139</v>
      </c>
      <c r="E176" s="565" t="s">
        <v>139</v>
      </c>
      <c r="F176" s="565"/>
      <c r="G176" s="565"/>
      <c r="H176" s="91"/>
      <c r="I176" s="91"/>
      <c r="J176" s="566" t="s">
        <v>1317</v>
      </c>
      <c r="K176" s="1138"/>
      <c r="L176" s="1138"/>
      <c r="M176" s="1138"/>
      <c r="N176" s="1138">
        <f t="shared" si="64"/>
        <v>0</v>
      </c>
      <c r="O176" s="1138"/>
      <c r="P176" s="1138"/>
      <c r="Q176" s="1138"/>
      <c r="R176" s="1138"/>
      <c r="S176" s="1138"/>
      <c r="T176" s="1138"/>
      <c r="U176" s="1133" t="e">
        <f t="shared" si="62"/>
        <v>#DIV/0!</v>
      </c>
      <c r="V176" s="564"/>
      <c r="W176" s="564"/>
      <c r="X176" s="564"/>
      <c r="Y176" s="1113" t="s">
        <v>1136</v>
      </c>
    </row>
    <row r="177" spans="1:25" s="1" customFormat="1" ht="22.5" customHeight="1" thickTop="1" thickBot="1" x14ac:dyDescent="0.3">
      <c r="A177" s="564" t="s">
        <v>127</v>
      </c>
      <c r="B177" s="565" t="s">
        <v>134</v>
      </c>
      <c r="C177" s="565" t="s">
        <v>134</v>
      </c>
      <c r="D177" s="565" t="s">
        <v>139</v>
      </c>
      <c r="E177" s="565" t="s">
        <v>140</v>
      </c>
      <c r="F177" s="565"/>
      <c r="G177" s="565"/>
      <c r="H177" s="91"/>
      <c r="I177" s="91"/>
      <c r="J177" s="566" t="s">
        <v>1318</v>
      </c>
      <c r="K177" s="1138"/>
      <c r="L177" s="1138"/>
      <c r="M177" s="1138"/>
      <c r="N177" s="1138">
        <f t="shared" si="64"/>
        <v>0</v>
      </c>
      <c r="O177" s="1138"/>
      <c r="P177" s="1138"/>
      <c r="Q177" s="1138"/>
      <c r="R177" s="1138"/>
      <c r="S177" s="1138"/>
      <c r="T177" s="1138"/>
      <c r="U177" s="1133" t="e">
        <f t="shared" si="62"/>
        <v>#DIV/0!</v>
      </c>
      <c r="V177" s="564"/>
      <c r="W177" s="564"/>
      <c r="X177" s="564"/>
      <c r="Y177" s="1113" t="s">
        <v>1136</v>
      </c>
    </row>
    <row r="178" spans="1:25" s="1" customFormat="1" ht="22.5" customHeight="1" thickTop="1" thickBot="1" x14ac:dyDescent="0.3">
      <c r="A178" s="564" t="s">
        <v>127</v>
      </c>
      <c r="B178" s="565" t="s">
        <v>134</v>
      </c>
      <c r="C178" s="565" t="s">
        <v>134</v>
      </c>
      <c r="D178" s="565" t="s">
        <v>139</v>
      </c>
      <c r="E178" s="565" t="s">
        <v>144</v>
      </c>
      <c r="F178" s="565"/>
      <c r="G178" s="565"/>
      <c r="H178" s="91"/>
      <c r="I178" s="91"/>
      <c r="J178" s="566" t="s">
        <v>1319</v>
      </c>
      <c r="K178" s="1138"/>
      <c r="L178" s="1138"/>
      <c r="M178" s="1138"/>
      <c r="N178" s="1138">
        <f t="shared" si="64"/>
        <v>0</v>
      </c>
      <c r="O178" s="1138"/>
      <c r="P178" s="1138"/>
      <c r="Q178" s="1138"/>
      <c r="R178" s="1138"/>
      <c r="S178" s="1138"/>
      <c r="T178" s="1138"/>
      <c r="U178" s="1133" t="e">
        <f t="shared" si="62"/>
        <v>#DIV/0!</v>
      </c>
      <c r="V178" s="564"/>
      <c r="W178" s="564"/>
      <c r="X178" s="564"/>
      <c r="Y178" s="1113" t="s">
        <v>1136</v>
      </c>
    </row>
    <row r="179" spans="1:25" s="1" customFormat="1" ht="22.5" customHeight="1" thickTop="1" thickBot="1" x14ac:dyDescent="0.3">
      <c r="A179" s="564" t="s">
        <v>127</v>
      </c>
      <c r="B179" s="565" t="s">
        <v>134</v>
      </c>
      <c r="C179" s="565" t="s">
        <v>134</v>
      </c>
      <c r="D179" s="565" t="s">
        <v>139</v>
      </c>
      <c r="E179" s="565" t="s">
        <v>145</v>
      </c>
      <c r="F179" s="565"/>
      <c r="G179" s="565"/>
      <c r="H179" s="91"/>
      <c r="I179" s="91"/>
      <c r="J179" s="566" t="s">
        <v>1320</v>
      </c>
      <c r="K179" s="1138"/>
      <c r="L179" s="1138"/>
      <c r="M179" s="1138"/>
      <c r="N179" s="1138">
        <f t="shared" si="64"/>
        <v>0</v>
      </c>
      <c r="O179" s="1138"/>
      <c r="P179" s="1138"/>
      <c r="Q179" s="1138"/>
      <c r="R179" s="1138"/>
      <c r="S179" s="1138"/>
      <c r="T179" s="1138"/>
      <c r="U179" s="1133" t="e">
        <f t="shared" si="62"/>
        <v>#DIV/0!</v>
      </c>
      <c r="V179" s="564"/>
      <c r="W179" s="564"/>
      <c r="X179" s="564"/>
      <c r="Y179" s="1113" t="s">
        <v>1136</v>
      </c>
    </row>
    <row r="180" spans="1:25" s="1" customFormat="1" ht="22.5" customHeight="1" thickTop="1" thickBot="1" x14ac:dyDescent="0.3">
      <c r="A180" s="564" t="s">
        <v>127</v>
      </c>
      <c r="B180" s="565" t="s">
        <v>134</v>
      </c>
      <c r="C180" s="565" t="s">
        <v>134</v>
      </c>
      <c r="D180" s="565" t="s">
        <v>139</v>
      </c>
      <c r="E180" s="565" t="s">
        <v>146</v>
      </c>
      <c r="F180" s="565"/>
      <c r="G180" s="565"/>
      <c r="H180" s="91"/>
      <c r="I180" s="91"/>
      <c r="J180" s="566" t="s">
        <v>1321</v>
      </c>
      <c r="K180" s="1138"/>
      <c r="L180" s="1138"/>
      <c r="M180" s="1138"/>
      <c r="N180" s="1138">
        <f t="shared" si="64"/>
        <v>0</v>
      </c>
      <c r="O180" s="1138"/>
      <c r="P180" s="1138"/>
      <c r="Q180" s="1138"/>
      <c r="R180" s="1138"/>
      <c r="S180" s="1138"/>
      <c r="T180" s="1138"/>
      <c r="U180" s="1133" t="e">
        <f t="shared" si="62"/>
        <v>#DIV/0!</v>
      </c>
      <c r="V180" s="564"/>
      <c r="W180" s="564"/>
      <c r="X180" s="564"/>
      <c r="Y180" s="1113" t="s">
        <v>1136</v>
      </c>
    </row>
    <row r="181" spans="1:25" s="1" customFormat="1" ht="22.5" customHeight="1" thickTop="1" thickBot="1" x14ac:dyDescent="0.3">
      <c r="A181" s="564" t="s">
        <v>127</v>
      </c>
      <c r="B181" s="565" t="s">
        <v>134</v>
      </c>
      <c r="C181" s="565" t="s">
        <v>134</v>
      </c>
      <c r="D181" s="565" t="s">
        <v>139</v>
      </c>
      <c r="E181" s="565" t="s">
        <v>147</v>
      </c>
      <c r="F181" s="565"/>
      <c r="G181" s="565"/>
      <c r="H181" s="91"/>
      <c r="I181" s="91"/>
      <c r="J181" s="566" t="s">
        <v>1322</v>
      </c>
      <c r="K181" s="1138"/>
      <c r="L181" s="1138"/>
      <c r="M181" s="1138"/>
      <c r="N181" s="1138">
        <f t="shared" si="64"/>
        <v>0</v>
      </c>
      <c r="O181" s="1138"/>
      <c r="P181" s="1138"/>
      <c r="Q181" s="1138"/>
      <c r="R181" s="1138"/>
      <c r="S181" s="1138"/>
      <c r="T181" s="1138"/>
      <c r="U181" s="1133" t="e">
        <f t="shared" si="62"/>
        <v>#DIV/0!</v>
      </c>
      <c r="V181" s="564"/>
      <c r="W181" s="564"/>
      <c r="X181" s="564"/>
      <c r="Y181" s="1113" t="s">
        <v>1136</v>
      </c>
    </row>
    <row r="182" spans="1:25" s="1" customFormat="1" ht="22.5" customHeight="1" thickTop="1" thickBot="1" x14ac:dyDescent="0.3">
      <c r="A182" s="564" t="s">
        <v>127</v>
      </c>
      <c r="B182" s="565" t="s">
        <v>134</v>
      </c>
      <c r="C182" s="565" t="s">
        <v>134</v>
      </c>
      <c r="D182" s="565" t="s">
        <v>139</v>
      </c>
      <c r="E182" s="565" t="s">
        <v>180</v>
      </c>
      <c r="F182" s="565"/>
      <c r="G182" s="565"/>
      <c r="H182" s="91"/>
      <c r="I182" s="91"/>
      <c r="J182" s="566" t="s">
        <v>1323</v>
      </c>
      <c r="K182" s="1138"/>
      <c r="L182" s="1138"/>
      <c r="M182" s="1138"/>
      <c r="N182" s="1138">
        <f t="shared" si="64"/>
        <v>0</v>
      </c>
      <c r="O182" s="1138"/>
      <c r="P182" s="1138"/>
      <c r="Q182" s="1138"/>
      <c r="R182" s="1138"/>
      <c r="S182" s="1138"/>
      <c r="T182" s="1138"/>
      <c r="U182" s="1133" t="e">
        <f t="shared" si="62"/>
        <v>#DIV/0!</v>
      </c>
      <c r="V182" s="564"/>
      <c r="W182" s="564"/>
      <c r="X182" s="564"/>
      <c r="Y182" s="1113" t="s">
        <v>1136</v>
      </c>
    </row>
    <row r="183" spans="1:25" s="1" customFormat="1" ht="22.5" customHeight="1" thickTop="1" thickBot="1" x14ac:dyDescent="0.3">
      <c r="A183" s="564" t="s">
        <v>127</v>
      </c>
      <c r="B183" s="565" t="s">
        <v>134</v>
      </c>
      <c r="C183" s="565" t="s">
        <v>134</v>
      </c>
      <c r="D183" s="565" t="s">
        <v>139</v>
      </c>
      <c r="E183" s="565" t="s">
        <v>181</v>
      </c>
      <c r="F183" s="565"/>
      <c r="G183" s="565"/>
      <c r="H183" s="91"/>
      <c r="I183" s="91"/>
      <c r="J183" s="566" t="s">
        <v>1324</v>
      </c>
      <c r="K183" s="1138"/>
      <c r="L183" s="1138"/>
      <c r="M183" s="1138"/>
      <c r="N183" s="1138">
        <f t="shared" si="64"/>
        <v>0</v>
      </c>
      <c r="O183" s="1138"/>
      <c r="P183" s="1138"/>
      <c r="Q183" s="1138"/>
      <c r="R183" s="1138"/>
      <c r="S183" s="1138"/>
      <c r="T183" s="1138"/>
      <c r="U183" s="1133" t="e">
        <f t="shared" si="62"/>
        <v>#DIV/0!</v>
      </c>
      <c r="V183" s="564"/>
      <c r="W183" s="564"/>
      <c r="X183" s="564"/>
      <c r="Y183" s="1113" t="s">
        <v>1136</v>
      </c>
    </row>
    <row r="184" spans="1:25" s="1" customFormat="1" ht="22.5" customHeight="1" thickTop="1" thickBot="1" x14ac:dyDescent="0.3">
      <c r="A184" s="564" t="s">
        <v>127</v>
      </c>
      <c r="B184" s="565" t="s">
        <v>134</v>
      </c>
      <c r="C184" s="565" t="s">
        <v>134</v>
      </c>
      <c r="D184" s="565" t="s">
        <v>139</v>
      </c>
      <c r="E184" s="565" t="s">
        <v>182</v>
      </c>
      <c r="F184" s="565"/>
      <c r="G184" s="565"/>
      <c r="H184" s="91"/>
      <c r="I184" s="91"/>
      <c r="J184" s="566" t="s">
        <v>1325</v>
      </c>
      <c r="K184" s="1138"/>
      <c r="L184" s="1138"/>
      <c r="M184" s="1138"/>
      <c r="N184" s="1138">
        <f t="shared" si="64"/>
        <v>0</v>
      </c>
      <c r="O184" s="1138"/>
      <c r="P184" s="1138"/>
      <c r="Q184" s="1138"/>
      <c r="R184" s="1138"/>
      <c r="S184" s="1138"/>
      <c r="T184" s="1138"/>
      <c r="U184" s="1133" t="e">
        <f t="shared" si="62"/>
        <v>#DIV/0!</v>
      </c>
      <c r="V184" s="564"/>
      <c r="W184" s="564"/>
      <c r="X184" s="564"/>
      <c r="Y184" s="1113" t="s">
        <v>1136</v>
      </c>
    </row>
    <row r="185" spans="1:25" s="1" customFormat="1" ht="22.5" customHeight="1" thickTop="1" thickBot="1" x14ac:dyDescent="0.3">
      <c r="A185" s="564" t="s">
        <v>127</v>
      </c>
      <c r="B185" s="565" t="s">
        <v>134</v>
      </c>
      <c r="C185" s="565" t="s">
        <v>134</v>
      </c>
      <c r="D185" s="565" t="s">
        <v>139</v>
      </c>
      <c r="E185" s="565" t="s">
        <v>183</v>
      </c>
      <c r="F185" s="565"/>
      <c r="G185" s="565"/>
      <c r="H185" s="91"/>
      <c r="I185" s="91"/>
      <c r="J185" s="566" t="s">
        <v>1326</v>
      </c>
      <c r="K185" s="1138"/>
      <c r="L185" s="1138"/>
      <c r="M185" s="1138"/>
      <c r="N185" s="1138">
        <f t="shared" si="64"/>
        <v>0</v>
      </c>
      <c r="O185" s="1138"/>
      <c r="P185" s="1138"/>
      <c r="Q185" s="1138"/>
      <c r="R185" s="1138"/>
      <c r="S185" s="1138"/>
      <c r="T185" s="1138"/>
      <c r="U185" s="1133" t="e">
        <f t="shared" si="62"/>
        <v>#DIV/0!</v>
      </c>
      <c r="V185" s="564"/>
      <c r="W185" s="564"/>
      <c r="X185" s="564"/>
      <c r="Y185" s="1113" t="s">
        <v>1136</v>
      </c>
    </row>
    <row r="186" spans="1:25" s="1" customFormat="1" ht="22.5" customHeight="1" thickTop="1" thickBot="1" x14ac:dyDescent="0.3">
      <c r="A186" s="1126" t="s">
        <v>127</v>
      </c>
      <c r="B186" s="1127" t="s">
        <v>134</v>
      </c>
      <c r="C186" s="1127" t="s">
        <v>134</v>
      </c>
      <c r="D186" s="1127" t="s">
        <v>140</v>
      </c>
      <c r="E186" s="1127"/>
      <c r="F186" s="1127"/>
      <c r="G186" s="1127"/>
      <c r="H186" s="1128"/>
      <c r="I186" s="1128"/>
      <c r="J186" s="1129" t="s">
        <v>1327</v>
      </c>
      <c r="K186" s="1136"/>
      <c r="L186" s="1136"/>
      <c r="M186" s="1136"/>
      <c r="N186" s="1136">
        <f t="shared" si="64"/>
        <v>0</v>
      </c>
      <c r="O186" s="1136"/>
      <c r="P186" s="1136"/>
      <c r="Q186" s="1136"/>
      <c r="R186" s="1136"/>
      <c r="S186" s="1136"/>
      <c r="T186" s="1136"/>
      <c r="U186" s="1131" t="e">
        <f t="shared" si="62"/>
        <v>#DIV/0!</v>
      </c>
      <c r="V186" s="1127"/>
      <c r="W186" s="1126" t="s">
        <v>1328</v>
      </c>
      <c r="X186" s="1126"/>
      <c r="Y186" s="1113" t="s">
        <v>1136</v>
      </c>
    </row>
    <row r="187" spans="1:25" s="1" customFormat="1" ht="22.5" customHeight="1" thickTop="1" thickBot="1" x14ac:dyDescent="0.3">
      <c r="A187" s="1126" t="s">
        <v>127</v>
      </c>
      <c r="B187" s="1127" t="s">
        <v>134</v>
      </c>
      <c r="C187" s="1127" t="s">
        <v>134</v>
      </c>
      <c r="D187" s="1127" t="s">
        <v>144</v>
      </c>
      <c r="E187" s="1127"/>
      <c r="F187" s="1127"/>
      <c r="G187" s="1127"/>
      <c r="H187" s="1128"/>
      <c r="I187" s="1128"/>
      <c r="J187" s="1129" t="s">
        <v>1329</v>
      </c>
      <c r="K187" s="1136"/>
      <c r="L187" s="1136"/>
      <c r="M187" s="1136"/>
      <c r="N187" s="1136">
        <f t="shared" si="64"/>
        <v>0</v>
      </c>
      <c r="O187" s="1136"/>
      <c r="P187" s="1136"/>
      <c r="Q187" s="1136"/>
      <c r="R187" s="1136"/>
      <c r="S187" s="1136"/>
      <c r="T187" s="1136"/>
      <c r="U187" s="1131" t="e">
        <f t="shared" si="62"/>
        <v>#DIV/0!</v>
      </c>
      <c r="V187" s="1127"/>
      <c r="W187" s="1126" t="s">
        <v>1330</v>
      </c>
      <c r="X187" s="1126"/>
      <c r="Y187" s="1113" t="s">
        <v>1136</v>
      </c>
    </row>
    <row r="188" spans="1:25" s="1" customFormat="1" ht="22.5" customHeight="1" thickTop="1" thickBot="1" x14ac:dyDescent="0.3">
      <c r="A188" s="1120" t="s">
        <v>127</v>
      </c>
      <c r="B188" s="1121" t="s">
        <v>134</v>
      </c>
      <c r="C188" s="1121" t="s">
        <v>139</v>
      </c>
      <c r="D188" s="1121"/>
      <c r="E188" s="1121"/>
      <c r="F188" s="1121"/>
      <c r="G188" s="1121"/>
      <c r="H188" s="1122"/>
      <c r="I188" s="1122"/>
      <c r="J188" s="1123" t="s">
        <v>184</v>
      </c>
      <c r="K188" s="1141">
        <f>+K189+K192+K193</f>
        <v>0</v>
      </c>
      <c r="L188" s="1141">
        <f>+L189+L192+L193</f>
        <v>0</v>
      </c>
      <c r="M188" s="1141">
        <f>+M189+M192+M193</f>
        <v>0</v>
      </c>
      <c r="N188" s="1141">
        <f t="shared" si="64"/>
        <v>0</v>
      </c>
      <c r="O188" s="1141">
        <f t="shared" ref="O188:T188" si="78">+O189+O192+O193</f>
        <v>0</v>
      </c>
      <c r="P188" s="1141">
        <f t="shared" si="78"/>
        <v>0</v>
      </c>
      <c r="Q188" s="1141">
        <f t="shared" si="78"/>
        <v>0</v>
      </c>
      <c r="R188" s="1141">
        <f t="shared" si="78"/>
        <v>0</v>
      </c>
      <c r="S188" s="1141">
        <f>+S189+S192+S193</f>
        <v>0</v>
      </c>
      <c r="T188" s="1141">
        <f t="shared" si="78"/>
        <v>0</v>
      </c>
      <c r="U188" s="1125" t="e">
        <f t="shared" si="62"/>
        <v>#DIV/0!</v>
      </c>
      <c r="V188" s="1121"/>
      <c r="W188" s="1121" t="s">
        <v>1331</v>
      </c>
      <c r="X188" s="1121"/>
      <c r="Y188" s="1113" t="s">
        <v>1136</v>
      </c>
    </row>
    <row r="189" spans="1:25" s="1" customFormat="1" ht="22.5" customHeight="1" thickTop="1" thickBot="1" x14ac:dyDescent="0.3">
      <c r="A189" s="1127" t="s">
        <v>127</v>
      </c>
      <c r="B189" s="1127" t="s">
        <v>134</v>
      </c>
      <c r="C189" s="1127" t="s">
        <v>139</v>
      </c>
      <c r="D189" s="1127" t="s">
        <v>129</v>
      </c>
      <c r="E189" s="1127"/>
      <c r="F189" s="1127"/>
      <c r="G189" s="1127"/>
      <c r="H189" s="1128"/>
      <c r="I189" s="1128"/>
      <c r="J189" s="1129" t="s">
        <v>185</v>
      </c>
      <c r="K189" s="1136">
        <f>+K190+K191</f>
        <v>0</v>
      </c>
      <c r="L189" s="1136">
        <f>+L190+L191</f>
        <v>0</v>
      </c>
      <c r="M189" s="1136">
        <f>+M190+M191</f>
        <v>0</v>
      </c>
      <c r="N189" s="1136">
        <f t="shared" si="64"/>
        <v>0</v>
      </c>
      <c r="O189" s="1136">
        <f t="shared" ref="O189:T189" si="79">+O190+O191</f>
        <v>0</v>
      </c>
      <c r="P189" s="1136">
        <f t="shared" si="79"/>
        <v>0</v>
      </c>
      <c r="Q189" s="1136">
        <f t="shared" si="79"/>
        <v>0</v>
      </c>
      <c r="R189" s="1136">
        <f t="shared" si="79"/>
        <v>0</v>
      </c>
      <c r="S189" s="1136">
        <f>+S190+S191</f>
        <v>0</v>
      </c>
      <c r="T189" s="1136">
        <f t="shared" si="79"/>
        <v>0</v>
      </c>
      <c r="U189" s="1131" t="e">
        <f t="shared" si="62"/>
        <v>#DIV/0!</v>
      </c>
      <c r="V189" s="1127"/>
      <c r="W189" s="1126" t="s">
        <v>1332</v>
      </c>
      <c r="X189" s="1126" t="s">
        <v>1333</v>
      </c>
      <c r="Y189" s="1113" t="s">
        <v>1136</v>
      </c>
    </row>
    <row r="190" spans="1:25" s="1" customFormat="1" ht="22.5" customHeight="1" thickTop="1" thickBot="1" x14ac:dyDescent="0.3">
      <c r="A190" s="564" t="s">
        <v>127</v>
      </c>
      <c r="B190" s="565" t="s">
        <v>134</v>
      </c>
      <c r="C190" s="565" t="s">
        <v>139</v>
      </c>
      <c r="D190" s="565" t="s">
        <v>129</v>
      </c>
      <c r="E190" s="565" t="s">
        <v>129</v>
      </c>
      <c r="F190" s="565"/>
      <c r="G190" s="565"/>
      <c r="H190" s="91"/>
      <c r="I190" s="91"/>
      <c r="J190" s="566" t="s">
        <v>186</v>
      </c>
      <c r="K190" s="1138"/>
      <c r="L190" s="1138"/>
      <c r="M190" s="1138"/>
      <c r="N190" s="1138">
        <f t="shared" si="64"/>
        <v>0</v>
      </c>
      <c r="O190" s="1138"/>
      <c r="P190" s="1138"/>
      <c r="Q190" s="1138"/>
      <c r="R190" s="1138"/>
      <c r="S190" s="1138"/>
      <c r="T190" s="1138"/>
      <c r="U190" s="1133" t="e">
        <f t="shared" si="62"/>
        <v>#DIV/0!</v>
      </c>
      <c r="V190" s="564"/>
      <c r="W190" s="564" t="s">
        <v>1334</v>
      </c>
      <c r="X190" s="564" t="s">
        <v>1335</v>
      </c>
      <c r="Y190" s="1113" t="s">
        <v>1136</v>
      </c>
    </row>
    <row r="191" spans="1:25" s="1" customFormat="1" ht="22.5" customHeight="1" thickTop="1" thickBot="1" x14ac:dyDescent="0.3">
      <c r="A191" s="564" t="s">
        <v>127</v>
      </c>
      <c r="B191" s="565" t="s">
        <v>134</v>
      </c>
      <c r="C191" s="565" t="s">
        <v>139</v>
      </c>
      <c r="D191" s="565" t="s">
        <v>129</v>
      </c>
      <c r="E191" s="565" t="s">
        <v>134</v>
      </c>
      <c r="F191" s="565"/>
      <c r="G191" s="565"/>
      <c r="H191" s="91"/>
      <c r="I191" s="91"/>
      <c r="J191" s="566" t="s">
        <v>187</v>
      </c>
      <c r="K191" s="1138"/>
      <c r="L191" s="1138"/>
      <c r="M191" s="1138"/>
      <c r="N191" s="1138">
        <f t="shared" si="64"/>
        <v>0</v>
      </c>
      <c r="O191" s="1138"/>
      <c r="P191" s="1138"/>
      <c r="Q191" s="1138"/>
      <c r="R191" s="1138"/>
      <c r="S191" s="1138"/>
      <c r="T191" s="1138"/>
      <c r="U191" s="1133" t="e">
        <f t="shared" si="62"/>
        <v>#DIV/0!</v>
      </c>
      <c r="V191" s="565"/>
      <c r="W191" s="564" t="s">
        <v>1336</v>
      </c>
      <c r="X191" s="564"/>
      <c r="Y191" s="1113" t="s">
        <v>1136</v>
      </c>
    </row>
    <row r="192" spans="1:25" s="1" customFormat="1" ht="22.5" customHeight="1" thickTop="1" thickBot="1" x14ac:dyDescent="0.3">
      <c r="A192" s="1126" t="s">
        <v>127</v>
      </c>
      <c r="B192" s="1127" t="s">
        <v>134</v>
      </c>
      <c r="C192" s="1127" t="s">
        <v>139</v>
      </c>
      <c r="D192" s="1127" t="s">
        <v>134</v>
      </c>
      <c r="E192" s="1127"/>
      <c r="F192" s="1127"/>
      <c r="G192" s="1127"/>
      <c r="H192" s="1128"/>
      <c r="I192" s="1128"/>
      <c r="J192" s="1129" t="s">
        <v>1337</v>
      </c>
      <c r="K192" s="1136"/>
      <c r="L192" s="1136"/>
      <c r="M192" s="1136"/>
      <c r="N192" s="1136">
        <f t="shared" si="64"/>
        <v>0</v>
      </c>
      <c r="O192" s="1136"/>
      <c r="P192" s="1136"/>
      <c r="Q192" s="1136"/>
      <c r="R192" s="1136"/>
      <c r="S192" s="1136"/>
      <c r="T192" s="1136"/>
      <c r="U192" s="1131" t="e">
        <f t="shared" si="62"/>
        <v>#DIV/0!</v>
      </c>
      <c r="V192" s="1127"/>
      <c r="W192" s="1126" t="s">
        <v>1338</v>
      </c>
      <c r="X192" s="1126"/>
      <c r="Y192" s="1113" t="s">
        <v>1136</v>
      </c>
    </row>
    <row r="193" spans="1:25" s="1" customFormat="1" ht="22.5" customHeight="1" thickTop="1" thickBot="1" x14ac:dyDescent="0.3">
      <c r="A193" s="1126" t="s">
        <v>127</v>
      </c>
      <c r="B193" s="1127" t="s">
        <v>134</v>
      </c>
      <c r="C193" s="1127" t="s">
        <v>139</v>
      </c>
      <c r="D193" s="1127" t="s">
        <v>139</v>
      </c>
      <c r="E193" s="1127"/>
      <c r="F193" s="1127"/>
      <c r="G193" s="1127"/>
      <c r="H193" s="1128"/>
      <c r="I193" s="1128"/>
      <c r="J193" s="1129" t="s">
        <v>1339</v>
      </c>
      <c r="K193" s="1136"/>
      <c r="L193" s="1136"/>
      <c r="M193" s="1136"/>
      <c r="N193" s="1136">
        <f t="shared" si="64"/>
        <v>0</v>
      </c>
      <c r="O193" s="1136"/>
      <c r="P193" s="1136"/>
      <c r="Q193" s="1136"/>
      <c r="R193" s="1136"/>
      <c r="S193" s="1136"/>
      <c r="T193" s="1136"/>
      <c r="U193" s="1131" t="e">
        <f t="shared" si="62"/>
        <v>#DIV/0!</v>
      </c>
      <c r="V193" s="1127"/>
      <c r="W193" s="1126" t="s">
        <v>1340</v>
      </c>
      <c r="X193" s="1126" t="s">
        <v>1341</v>
      </c>
      <c r="Y193" s="1113" t="s">
        <v>1136</v>
      </c>
    </row>
    <row r="194" spans="1:25" s="1" customFormat="1" ht="22.5" customHeight="1" thickTop="1" thickBot="1" x14ac:dyDescent="0.3">
      <c r="A194" s="1120" t="s">
        <v>127</v>
      </c>
      <c r="B194" s="1121" t="s">
        <v>134</v>
      </c>
      <c r="C194" s="1121" t="s">
        <v>140</v>
      </c>
      <c r="D194" s="1121"/>
      <c r="E194" s="1121"/>
      <c r="F194" s="1121"/>
      <c r="G194" s="1121"/>
      <c r="H194" s="1122"/>
      <c r="I194" s="1122"/>
      <c r="J194" s="1123" t="s">
        <v>188</v>
      </c>
      <c r="K194" s="1141">
        <f>+K195+K206+K212</f>
        <v>0</v>
      </c>
      <c r="L194" s="1141">
        <f>+L195+L206+L212</f>
        <v>0</v>
      </c>
      <c r="M194" s="1141">
        <f>+M195+M206+M212</f>
        <v>0</v>
      </c>
      <c r="N194" s="1141">
        <f t="shared" si="64"/>
        <v>0</v>
      </c>
      <c r="O194" s="1141">
        <f t="shared" ref="O194:T194" si="80">+O195+O206+O212</f>
        <v>0</v>
      </c>
      <c r="P194" s="1141">
        <f t="shared" si="80"/>
        <v>0</v>
      </c>
      <c r="Q194" s="1141">
        <f t="shared" si="80"/>
        <v>0</v>
      </c>
      <c r="R194" s="1141">
        <f t="shared" si="80"/>
        <v>0</v>
      </c>
      <c r="S194" s="1141">
        <f>+S195+S206+S212</f>
        <v>0</v>
      </c>
      <c r="T194" s="1141">
        <f t="shared" si="80"/>
        <v>0</v>
      </c>
      <c r="U194" s="1125" t="e">
        <f t="shared" si="62"/>
        <v>#DIV/0!</v>
      </c>
      <c r="V194" s="1121"/>
      <c r="W194" s="1121" t="s">
        <v>1342</v>
      </c>
      <c r="X194" s="1121"/>
      <c r="Y194" s="1113" t="s">
        <v>1136</v>
      </c>
    </row>
    <row r="195" spans="1:25" s="1" customFormat="1" ht="22.5" customHeight="1" thickTop="1" thickBot="1" x14ac:dyDescent="0.3">
      <c r="A195" s="1126" t="s">
        <v>127</v>
      </c>
      <c r="B195" s="1127" t="s">
        <v>134</v>
      </c>
      <c r="C195" s="1127" t="s">
        <v>140</v>
      </c>
      <c r="D195" s="1127" t="s">
        <v>129</v>
      </c>
      <c r="E195" s="1127"/>
      <c r="F195" s="1127"/>
      <c r="G195" s="1127"/>
      <c r="H195" s="1128"/>
      <c r="I195" s="1128"/>
      <c r="J195" s="1129" t="s">
        <v>189</v>
      </c>
      <c r="K195" s="1136">
        <f>+K196+K199+K205</f>
        <v>0</v>
      </c>
      <c r="L195" s="1136">
        <f>+L196+L199+L205</f>
        <v>0</v>
      </c>
      <c r="M195" s="1136">
        <f>+M196+M199+M205</f>
        <v>0</v>
      </c>
      <c r="N195" s="1136">
        <f t="shared" si="64"/>
        <v>0</v>
      </c>
      <c r="O195" s="1136">
        <f t="shared" ref="O195:T195" si="81">+O196+O199+O205</f>
        <v>0</v>
      </c>
      <c r="P195" s="1136">
        <f t="shared" si="81"/>
        <v>0</v>
      </c>
      <c r="Q195" s="1136">
        <f t="shared" si="81"/>
        <v>0</v>
      </c>
      <c r="R195" s="1136">
        <f t="shared" si="81"/>
        <v>0</v>
      </c>
      <c r="S195" s="1136">
        <f>+S196+S199+S205</f>
        <v>0</v>
      </c>
      <c r="T195" s="1136">
        <f t="shared" si="81"/>
        <v>0</v>
      </c>
      <c r="U195" s="1131" t="e">
        <f t="shared" si="62"/>
        <v>#DIV/0!</v>
      </c>
      <c r="V195" s="1127"/>
      <c r="W195" s="1126" t="s">
        <v>1343</v>
      </c>
      <c r="X195" s="1126" t="s">
        <v>1344</v>
      </c>
      <c r="Y195" s="1113" t="s">
        <v>1136</v>
      </c>
    </row>
    <row r="196" spans="1:25" s="1" customFormat="1" ht="22.5" customHeight="1" thickTop="1" thickBot="1" x14ac:dyDescent="0.3">
      <c r="A196" s="564" t="s">
        <v>127</v>
      </c>
      <c r="B196" s="565" t="s">
        <v>134</v>
      </c>
      <c r="C196" s="565" t="s">
        <v>140</v>
      </c>
      <c r="D196" s="565" t="s">
        <v>129</v>
      </c>
      <c r="E196" s="565" t="s">
        <v>129</v>
      </c>
      <c r="F196" s="565"/>
      <c r="G196" s="565"/>
      <c r="H196" s="91"/>
      <c r="I196" s="91"/>
      <c r="J196" s="566" t="s">
        <v>1345</v>
      </c>
      <c r="K196" s="1138">
        <f>+K197+K198</f>
        <v>0</v>
      </c>
      <c r="L196" s="1138">
        <f>+L197+L198</f>
        <v>0</v>
      </c>
      <c r="M196" s="1138">
        <f>+M197+M198</f>
        <v>0</v>
      </c>
      <c r="N196" s="1138">
        <f t="shared" si="64"/>
        <v>0</v>
      </c>
      <c r="O196" s="1138">
        <f t="shared" ref="O196:T196" si="82">+O197+O198</f>
        <v>0</v>
      </c>
      <c r="P196" s="1138">
        <f t="shared" si="82"/>
        <v>0</v>
      </c>
      <c r="Q196" s="1138">
        <f t="shared" si="82"/>
        <v>0</v>
      </c>
      <c r="R196" s="1138">
        <f t="shared" si="82"/>
        <v>0</v>
      </c>
      <c r="S196" s="1138">
        <f>+S197+S198</f>
        <v>0</v>
      </c>
      <c r="T196" s="1138">
        <f t="shared" si="82"/>
        <v>0</v>
      </c>
      <c r="U196" s="1133" t="e">
        <f t="shared" si="62"/>
        <v>#DIV/0!</v>
      </c>
      <c r="V196" s="564"/>
      <c r="W196" s="564" t="s">
        <v>1346</v>
      </c>
      <c r="X196" s="564" t="s">
        <v>1335</v>
      </c>
      <c r="Y196" s="1113" t="s">
        <v>1136</v>
      </c>
    </row>
    <row r="197" spans="1:25" ht="22.5" customHeight="1" thickTop="1" thickBot="1" x14ac:dyDescent="0.3">
      <c r="A197" s="28" t="s">
        <v>127</v>
      </c>
      <c r="B197" s="91" t="s">
        <v>134</v>
      </c>
      <c r="C197" s="91" t="s">
        <v>140</v>
      </c>
      <c r="D197" s="91" t="s">
        <v>129</v>
      </c>
      <c r="E197" s="91" t="s">
        <v>129</v>
      </c>
      <c r="F197" s="565" t="s">
        <v>129</v>
      </c>
      <c r="G197" s="91"/>
      <c r="H197" s="91"/>
      <c r="I197" s="91"/>
      <c r="J197" s="88" t="s">
        <v>1347</v>
      </c>
      <c r="K197" s="1139"/>
      <c r="L197" s="1139"/>
      <c r="M197" s="1139"/>
      <c r="N197" s="1139">
        <f t="shared" si="64"/>
        <v>0</v>
      </c>
      <c r="O197" s="1139"/>
      <c r="P197" s="1139"/>
      <c r="Q197" s="1139"/>
      <c r="R197" s="1139"/>
      <c r="S197" s="1139"/>
      <c r="T197" s="1139"/>
      <c r="U197" s="1134" t="e">
        <f t="shared" si="62"/>
        <v>#DIV/0!</v>
      </c>
      <c r="V197" s="91"/>
      <c r="W197" s="28" t="s">
        <v>1348</v>
      </c>
      <c r="X197" s="28"/>
      <c r="Y197" s="1113" t="s">
        <v>1136</v>
      </c>
    </row>
    <row r="198" spans="1:25" ht="22.5" customHeight="1" thickTop="1" thickBot="1" x14ac:dyDescent="0.3">
      <c r="A198" s="28" t="s">
        <v>127</v>
      </c>
      <c r="B198" s="91" t="s">
        <v>134</v>
      </c>
      <c r="C198" s="91" t="s">
        <v>140</v>
      </c>
      <c r="D198" s="91" t="s">
        <v>129</v>
      </c>
      <c r="E198" s="91" t="s">
        <v>129</v>
      </c>
      <c r="F198" s="565" t="s">
        <v>134</v>
      </c>
      <c r="G198" s="91"/>
      <c r="H198" s="91"/>
      <c r="I198" s="91"/>
      <c r="J198" s="88" t="s">
        <v>1349</v>
      </c>
      <c r="K198" s="1139"/>
      <c r="L198" s="1139"/>
      <c r="M198" s="1139"/>
      <c r="N198" s="1139">
        <f t="shared" si="64"/>
        <v>0</v>
      </c>
      <c r="O198" s="1139"/>
      <c r="P198" s="1139"/>
      <c r="Q198" s="1139"/>
      <c r="R198" s="1139"/>
      <c r="S198" s="1139"/>
      <c r="T198" s="1139"/>
      <c r="U198" s="1134" t="e">
        <f t="shared" si="62"/>
        <v>#DIV/0!</v>
      </c>
      <c r="V198" s="28"/>
      <c r="W198" s="28" t="s">
        <v>1350</v>
      </c>
      <c r="X198" s="28"/>
      <c r="Y198" s="1113" t="s">
        <v>1136</v>
      </c>
    </row>
    <row r="199" spans="1:25" s="1" customFormat="1" ht="22.5" customHeight="1" thickTop="1" thickBot="1" x14ac:dyDescent="0.3">
      <c r="A199" s="564" t="s">
        <v>127</v>
      </c>
      <c r="B199" s="565" t="s">
        <v>134</v>
      </c>
      <c r="C199" s="565" t="s">
        <v>140</v>
      </c>
      <c r="D199" s="565" t="s">
        <v>129</v>
      </c>
      <c r="E199" s="565" t="s">
        <v>134</v>
      </c>
      <c r="F199" s="565"/>
      <c r="G199" s="565"/>
      <c r="H199" s="91"/>
      <c r="I199" s="91"/>
      <c r="J199" s="566" t="s">
        <v>1351</v>
      </c>
      <c r="K199" s="1138">
        <f>+K200+K201+K202+K203+K204</f>
        <v>0</v>
      </c>
      <c r="L199" s="1138">
        <f>+L200+L201+L202+L203+L204</f>
        <v>0</v>
      </c>
      <c r="M199" s="1138">
        <f>+M200+M201+M202+M203+M204</f>
        <v>0</v>
      </c>
      <c r="N199" s="1138">
        <f t="shared" si="64"/>
        <v>0</v>
      </c>
      <c r="O199" s="1138">
        <f t="shared" ref="O199:T199" si="83">+O200+O201+O202+O203+O204</f>
        <v>0</v>
      </c>
      <c r="P199" s="1138">
        <f t="shared" si="83"/>
        <v>0</v>
      </c>
      <c r="Q199" s="1138">
        <f t="shared" si="83"/>
        <v>0</v>
      </c>
      <c r="R199" s="1138">
        <f t="shared" si="83"/>
        <v>0</v>
      </c>
      <c r="S199" s="1138">
        <f>+S200+S201+S202+S203+S204</f>
        <v>0</v>
      </c>
      <c r="T199" s="1138">
        <f t="shared" si="83"/>
        <v>0</v>
      </c>
      <c r="U199" s="1133" t="e">
        <f t="shared" si="62"/>
        <v>#DIV/0!</v>
      </c>
      <c r="V199" s="564"/>
      <c r="W199" s="564" t="s">
        <v>1352</v>
      </c>
      <c r="X199" s="564"/>
      <c r="Y199" s="1113" t="s">
        <v>1136</v>
      </c>
    </row>
    <row r="200" spans="1:25" ht="22.5" customHeight="1" thickTop="1" thickBot="1" x14ac:dyDescent="0.3">
      <c r="A200" s="28" t="s">
        <v>127</v>
      </c>
      <c r="B200" s="91" t="s">
        <v>134</v>
      </c>
      <c r="C200" s="91" t="s">
        <v>140</v>
      </c>
      <c r="D200" s="91" t="s">
        <v>129</v>
      </c>
      <c r="E200" s="91" t="s">
        <v>134</v>
      </c>
      <c r="F200" s="565" t="s">
        <v>129</v>
      </c>
      <c r="G200" s="91"/>
      <c r="H200" s="91"/>
      <c r="I200" s="91"/>
      <c r="J200" s="88" t="s">
        <v>1353</v>
      </c>
      <c r="K200" s="1139"/>
      <c r="L200" s="1139"/>
      <c r="M200" s="1139"/>
      <c r="N200" s="1139">
        <f t="shared" si="64"/>
        <v>0</v>
      </c>
      <c r="O200" s="1139"/>
      <c r="P200" s="1139"/>
      <c r="Q200" s="1139"/>
      <c r="R200" s="1139"/>
      <c r="S200" s="1139"/>
      <c r="T200" s="1139"/>
      <c r="U200" s="1134" t="e">
        <f t="shared" ref="U200:U263" si="84">T200/S200</f>
        <v>#DIV/0!</v>
      </c>
      <c r="V200" s="28"/>
      <c r="W200" s="28" t="s">
        <v>1354</v>
      </c>
      <c r="X200" s="28"/>
      <c r="Y200" s="1113" t="s">
        <v>1136</v>
      </c>
    </row>
    <row r="201" spans="1:25" ht="22.5" customHeight="1" thickTop="1" thickBot="1" x14ac:dyDescent="0.3">
      <c r="A201" s="28" t="s">
        <v>127</v>
      </c>
      <c r="B201" s="91" t="s">
        <v>134</v>
      </c>
      <c r="C201" s="91" t="s">
        <v>140</v>
      </c>
      <c r="D201" s="91" t="s">
        <v>129</v>
      </c>
      <c r="E201" s="91" t="s">
        <v>134</v>
      </c>
      <c r="F201" s="565" t="s">
        <v>134</v>
      </c>
      <c r="G201" s="91"/>
      <c r="H201" s="91"/>
      <c r="I201" s="91"/>
      <c r="J201" s="88" t="s">
        <v>1355</v>
      </c>
      <c r="K201" s="1139"/>
      <c r="L201" s="1139"/>
      <c r="M201" s="1139"/>
      <c r="N201" s="1139">
        <f t="shared" si="64"/>
        <v>0</v>
      </c>
      <c r="O201" s="1139"/>
      <c r="P201" s="1139"/>
      <c r="Q201" s="1139"/>
      <c r="R201" s="1139"/>
      <c r="S201" s="1139"/>
      <c r="T201" s="1139"/>
      <c r="U201" s="1134" t="e">
        <f t="shared" si="84"/>
        <v>#DIV/0!</v>
      </c>
      <c r="V201" s="28"/>
      <c r="W201" s="28" t="s">
        <v>1356</v>
      </c>
      <c r="X201" s="28"/>
      <c r="Y201" s="1113" t="s">
        <v>1136</v>
      </c>
    </row>
    <row r="202" spans="1:25" ht="22.5" customHeight="1" thickTop="1" thickBot="1" x14ac:dyDescent="0.3">
      <c r="A202" s="28" t="s">
        <v>127</v>
      </c>
      <c r="B202" s="91" t="s">
        <v>134</v>
      </c>
      <c r="C202" s="91" t="s">
        <v>140</v>
      </c>
      <c r="D202" s="91" t="s">
        <v>129</v>
      </c>
      <c r="E202" s="91" t="s">
        <v>134</v>
      </c>
      <c r="F202" s="565" t="s">
        <v>139</v>
      </c>
      <c r="G202" s="91"/>
      <c r="H202" s="91"/>
      <c r="I202" s="91"/>
      <c r="J202" s="88" t="s">
        <v>1357</v>
      </c>
      <c r="K202" s="1139"/>
      <c r="L202" s="1139"/>
      <c r="M202" s="1139"/>
      <c r="N202" s="1139">
        <f t="shared" ref="N202:N242" si="85">K202+L202-M202</f>
        <v>0</v>
      </c>
      <c r="O202" s="1139"/>
      <c r="P202" s="1139"/>
      <c r="Q202" s="1139"/>
      <c r="R202" s="1139"/>
      <c r="S202" s="1139"/>
      <c r="T202" s="1139"/>
      <c r="U202" s="1134" t="e">
        <f t="shared" si="84"/>
        <v>#DIV/0!</v>
      </c>
      <c r="V202" s="28"/>
      <c r="W202" s="28" t="s">
        <v>1358</v>
      </c>
      <c r="X202" s="28"/>
      <c r="Y202" s="1113" t="s">
        <v>1136</v>
      </c>
    </row>
    <row r="203" spans="1:25" ht="22.5" customHeight="1" thickTop="1" thickBot="1" x14ac:dyDescent="0.3">
      <c r="A203" s="28" t="s">
        <v>127</v>
      </c>
      <c r="B203" s="91" t="s">
        <v>134</v>
      </c>
      <c r="C203" s="91" t="s">
        <v>140</v>
      </c>
      <c r="D203" s="91" t="s">
        <v>129</v>
      </c>
      <c r="E203" s="91" t="s">
        <v>134</v>
      </c>
      <c r="F203" s="565" t="s">
        <v>140</v>
      </c>
      <c r="G203" s="91"/>
      <c r="H203" s="91"/>
      <c r="I203" s="91"/>
      <c r="J203" s="88" t="s">
        <v>1359</v>
      </c>
      <c r="K203" s="1139"/>
      <c r="L203" s="1139"/>
      <c r="M203" s="1139"/>
      <c r="N203" s="1139">
        <f t="shared" si="85"/>
        <v>0</v>
      </c>
      <c r="O203" s="1139"/>
      <c r="P203" s="1139"/>
      <c r="Q203" s="1139"/>
      <c r="R203" s="1139"/>
      <c r="S203" s="1139"/>
      <c r="T203" s="1139"/>
      <c r="U203" s="1134" t="e">
        <f t="shared" si="84"/>
        <v>#DIV/0!</v>
      </c>
      <c r="V203" s="28"/>
      <c r="W203" s="28" t="s">
        <v>1360</v>
      </c>
      <c r="X203" s="28"/>
      <c r="Y203" s="1113" t="s">
        <v>1136</v>
      </c>
    </row>
    <row r="204" spans="1:25" ht="22.5" customHeight="1" thickTop="1" thickBot="1" x14ac:dyDescent="0.3">
      <c r="A204" s="28" t="s">
        <v>127</v>
      </c>
      <c r="B204" s="91" t="s">
        <v>134</v>
      </c>
      <c r="C204" s="91" t="s">
        <v>140</v>
      </c>
      <c r="D204" s="91" t="s">
        <v>129</v>
      </c>
      <c r="E204" s="91" t="s">
        <v>134</v>
      </c>
      <c r="F204" s="565" t="s">
        <v>144</v>
      </c>
      <c r="G204" s="91"/>
      <c r="H204" s="91"/>
      <c r="I204" s="91"/>
      <c r="J204" s="88" t="s">
        <v>1361</v>
      </c>
      <c r="K204" s="1139"/>
      <c r="L204" s="1139"/>
      <c r="M204" s="1139"/>
      <c r="N204" s="1139">
        <f t="shared" si="85"/>
        <v>0</v>
      </c>
      <c r="O204" s="1139"/>
      <c r="P204" s="1139"/>
      <c r="Q204" s="1139"/>
      <c r="R204" s="1139"/>
      <c r="S204" s="1139"/>
      <c r="T204" s="1139"/>
      <c r="U204" s="1134" t="e">
        <f t="shared" si="84"/>
        <v>#DIV/0!</v>
      </c>
      <c r="V204" s="28"/>
      <c r="W204" s="28" t="s">
        <v>1362</v>
      </c>
      <c r="X204" s="28" t="s">
        <v>1363</v>
      </c>
      <c r="Y204" s="1113" t="s">
        <v>1136</v>
      </c>
    </row>
    <row r="205" spans="1:25" s="1" customFormat="1" ht="22.5" customHeight="1" thickTop="1" thickBot="1" x14ac:dyDescent="0.3">
      <c r="A205" s="564" t="s">
        <v>127</v>
      </c>
      <c r="B205" s="565" t="s">
        <v>134</v>
      </c>
      <c r="C205" s="565" t="s">
        <v>140</v>
      </c>
      <c r="D205" s="565" t="s">
        <v>129</v>
      </c>
      <c r="E205" s="565" t="s">
        <v>139</v>
      </c>
      <c r="F205" s="565"/>
      <c r="G205" s="565"/>
      <c r="H205" s="91"/>
      <c r="I205" s="91"/>
      <c r="J205" s="566" t="s">
        <v>1364</v>
      </c>
      <c r="K205" s="1138"/>
      <c r="L205" s="1138"/>
      <c r="M205" s="1138"/>
      <c r="N205" s="1138">
        <f t="shared" si="85"/>
        <v>0</v>
      </c>
      <c r="O205" s="1138"/>
      <c r="P205" s="1138"/>
      <c r="Q205" s="1138"/>
      <c r="R205" s="1138"/>
      <c r="S205" s="1138"/>
      <c r="T205" s="1138"/>
      <c r="U205" s="1133" t="e">
        <f t="shared" si="84"/>
        <v>#DIV/0!</v>
      </c>
      <c r="V205" s="564"/>
      <c r="W205" s="564" t="s">
        <v>1365</v>
      </c>
      <c r="X205" s="564"/>
      <c r="Y205" s="1113" t="s">
        <v>1136</v>
      </c>
    </row>
    <row r="206" spans="1:25" s="1" customFormat="1" ht="22.5" customHeight="1" thickTop="1" thickBot="1" x14ac:dyDescent="0.3">
      <c r="A206" s="1126" t="s">
        <v>127</v>
      </c>
      <c r="B206" s="1127" t="s">
        <v>134</v>
      </c>
      <c r="C206" s="1127" t="s">
        <v>140</v>
      </c>
      <c r="D206" s="1127" t="s">
        <v>134</v>
      </c>
      <c r="E206" s="1127"/>
      <c r="F206" s="1127"/>
      <c r="G206" s="1127"/>
      <c r="H206" s="1128"/>
      <c r="I206" s="1128"/>
      <c r="J206" s="1129" t="s">
        <v>1366</v>
      </c>
      <c r="K206" s="1136">
        <f>+K207+K210+K211</f>
        <v>0</v>
      </c>
      <c r="L206" s="1136">
        <f>+L207+L210+L211</f>
        <v>0</v>
      </c>
      <c r="M206" s="1136">
        <f>+M207+M210+M211</f>
        <v>0</v>
      </c>
      <c r="N206" s="1136">
        <f t="shared" si="85"/>
        <v>0</v>
      </c>
      <c r="O206" s="1136">
        <f t="shared" ref="O206:T206" si="86">+O207+O210+O211</f>
        <v>0</v>
      </c>
      <c r="P206" s="1136">
        <f t="shared" si="86"/>
        <v>0</v>
      </c>
      <c r="Q206" s="1136">
        <f t="shared" si="86"/>
        <v>0</v>
      </c>
      <c r="R206" s="1136">
        <f t="shared" si="86"/>
        <v>0</v>
      </c>
      <c r="S206" s="1136">
        <f>+S207+S210+S211</f>
        <v>0</v>
      </c>
      <c r="T206" s="1136">
        <f t="shared" si="86"/>
        <v>0</v>
      </c>
      <c r="U206" s="1131" t="e">
        <f t="shared" si="84"/>
        <v>#DIV/0!</v>
      </c>
      <c r="V206" s="1127"/>
      <c r="W206" s="1126" t="s">
        <v>1367</v>
      </c>
      <c r="X206" s="1126" t="s">
        <v>1368</v>
      </c>
      <c r="Y206" s="1113" t="s">
        <v>1136</v>
      </c>
    </row>
    <row r="207" spans="1:25" s="1" customFormat="1" ht="22.5" customHeight="1" thickTop="1" thickBot="1" x14ac:dyDescent="0.3">
      <c r="A207" s="564" t="s">
        <v>127</v>
      </c>
      <c r="B207" s="565" t="s">
        <v>134</v>
      </c>
      <c r="C207" s="565" t="s">
        <v>140</v>
      </c>
      <c r="D207" s="565" t="s">
        <v>134</v>
      </c>
      <c r="E207" s="565" t="s">
        <v>129</v>
      </c>
      <c r="F207" s="565"/>
      <c r="G207" s="565"/>
      <c r="H207" s="91"/>
      <c r="I207" s="91"/>
      <c r="J207" s="566" t="s">
        <v>1369</v>
      </c>
      <c r="K207" s="1144">
        <f>+K208+K209</f>
        <v>0</v>
      </c>
      <c r="L207" s="1144">
        <f>+L208+L209</f>
        <v>0</v>
      </c>
      <c r="M207" s="1144">
        <f>+M208+M209</f>
        <v>0</v>
      </c>
      <c r="N207" s="1144">
        <f t="shared" si="85"/>
        <v>0</v>
      </c>
      <c r="O207" s="1144">
        <f t="shared" ref="O207:T207" si="87">+O208+O209</f>
        <v>0</v>
      </c>
      <c r="P207" s="1144">
        <f t="shared" si="87"/>
        <v>0</v>
      </c>
      <c r="Q207" s="1144">
        <f t="shared" si="87"/>
        <v>0</v>
      </c>
      <c r="R207" s="1144">
        <f t="shared" si="87"/>
        <v>0</v>
      </c>
      <c r="S207" s="1144">
        <f>+S208+S209</f>
        <v>0</v>
      </c>
      <c r="T207" s="1144">
        <f t="shared" si="87"/>
        <v>0</v>
      </c>
      <c r="U207" s="1145" t="e">
        <f t="shared" si="84"/>
        <v>#DIV/0!</v>
      </c>
      <c r="V207" s="565"/>
      <c r="W207" s="564" t="s">
        <v>1370</v>
      </c>
      <c r="X207" s="564"/>
      <c r="Y207" s="1113" t="s">
        <v>1136</v>
      </c>
    </row>
    <row r="208" spans="1:25" ht="22.5" customHeight="1" thickTop="1" thickBot="1" x14ac:dyDescent="0.3">
      <c r="A208" s="28" t="s">
        <v>127</v>
      </c>
      <c r="B208" s="91" t="s">
        <v>134</v>
      </c>
      <c r="C208" s="91" t="s">
        <v>140</v>
      </c>
      <c r="D208" s="91" t="s">
        <v>134</v>
      </c>
      <c r="E208" s="91" t="s">
        <v>129</v>
      </c>
      <c r="F208" s="565" t="s">
        <v>129</v>
      </c>
      <c r="G208" s="91"/>
      <c r="H208" s="91"/>
      <c r="I208" s="91"/>
      <c r="J208" s="88" t="s">
        <v>190</v>
      </c>
      <c r="K208" s="1146"/>
      <c r="L208" s="1146"/>
      <c r="M208" s="1146"/>
      <c r="N208" s="1146">
        <f t="shared" si="85"/>
        <v>0</v>
      </c>
      <c r="O208" s="1146"/>
      <c r="P208" s="1146"/>
      <c r="Q208" s="1146"/>
      <c r="R208" s="1146"/>
      <c r="S208" s="1146"/>
      <c r="T208" s="1146"/>
      <c r="U208" s="1147" t="e">
        <f t="shared" si="84"/>
        <v>#DIV/0!</v>
      </c>
      <c r="V208" s="91"/>
      <c r="W208" s="28" t="s">
        <v>1371</v>
      </c>
      <c r="X208" s="28"/>
      <c r="Y208" s="1113" t="s">
        <v>1136</v>
      </c>
    </row>
    <row r="209" spans="1:25" ht="22.5" customHeight="1" thickTop="1" thickBot="1" x14ac:dyDescent="0.3">
      <c r="A209" s="28" t="s">
        <v>127</v>
      </c>
      <c r="B209" s="91" t="s">
        <v>134</v>
      </c>
      <c r="C209" s="91" t="s">
        <v>140</v>
      </c>
      <c r="D209" s="91" t="s">
        <v>134</v>
      </c>
      <c r="E209" s="91" t="s">
        <v>129</v>
      </c>
      <c r="F209" s="565" t="s">
        <v>134</v>
      </c>
      <c r="G209" s="91"/>
      <c r="H209" s="91"/>
      <c r="I209" s="91"/>
      <c r="J209" s="88" t="s">
        <v>191</v>
      </c>
      <c r="K209" s="1146"/>
      <c r="L209" s="1146"/>
      <c r="M209" s="1146"/>
      <c r="N209" s="1146">
        <f t="shared" si="85"/>
        <v>0</v>
      </c>
      <c r="O209" s="1146"/>
      <c r="P209" s="1146"/>
      <c r="Q209" s="1146"/>
      <c r="R209" s="1146"/>
      <c r="S209" s="1146"/>
      <c r="T209" s="1146"/>
      <c r="U209" s="1147" t="e">
        <f t="shared" si="84"/>
        <v>#DIV/0!</v>
      </c>
      <c r="V209" s="91"/>
      <c r="W209" s="28" t="s">
        <v>1372</v>
      </c>
      <c r="X209" s="28"/>
      <c r="Y209" s="1113" t="s">
        <v>1136</v>
      </c>
    </row>
    <row r="210" spans="1:25" s="1" customFormat="1" ht="22.5" customHeight="1" thickTop="1" thickBot="1" x14ac:dyDescent="0.3">
      <c r="A210" s="564" t="s">
        <v>127</v>
      </c>
      <c r="B210" s="565" t="s">
        <v>134</v>
      </c>
      <c r="C210" s="565" t="s">
        <v>140</v>
      </c>
      <c r="D210" s="565" t="s">
        <v>134</v>
      </c>
      <c r="E210" s="565" t="s">
        <v>134</v>
      </c>
      <c r="F210" s="565"/>
      <c r="G210" s="565"/>
      <c r="H210" s="91"/>
      <c r="I210" s="91"/>
      <c r="J210" s="566" t="s">
        <v>1373</v>
      </c>
      <c r="K210" s="1144"/>
      <c r="L210" s="1144"/>
      <c r="M210" s="1144"/>
      <c r="N210" s="1144">
        <f t="shared" si="85"/>
        <v>0</v>
      </c>
      <c r="O210" s="1144"/>
      <c r="P210" s="1144"/>
      <c r="Q210" s="1144"/>
      <c r="R210" s="1144"/>
      <c r="S210" s="1144"/>
      <c r="T210" s="1144"/>
      <c r="U210" s="1145" t="e">
        <f t="shared" si="84"/>
        <v>#DIV/0!</v>
      </c>
      <c r="V210" s="565"/>
      <c r="W210" s="564" t="s">
        <v>1374</v>
      </c>
      <c r="X210" s="564"/>
      <c r="Y210" s="1113" t="s">
        <v>1136</v>
      </c>
    </row>
    <row r="211" spans="1:25" s="1" customFormat="1" ht="22.5" customHeight="1" thickTop="1" thickBot="1" x14ac:dyDescent="0.3">
      <c r="A211" s="564" t="s">
        <v>127</v>
      </c>
      <c r="B211" s="565" t="s">
        <v>134</v>
      </c>
      <c r="C211" s="565" t="s">
        <v>140</v>
      </c>
      <c r="D211" s="565" t="s">
        <v>134</v>
      </c>
      <c r="E211" s="565" t="s">
        <v>139</v>
      </c>
      <c r="F211" s="565"/>
      <c r="G211" s="565"/>
      <c r="H211" s="91"/>
      <c r="I211" s="91"/>
      <c r="J211" s="566" t="s">
        <v>1375</v>
      </c>
      <c r="K211" s="1144"/>
      <c r="L211" s="1144"/>
      <c r="M211" s="1144"/>
      <c r="N211" s="1144">
        <f t="shared" si="85"/>
        <v>0</v>
      </c>
      <c r="O211" s="1144"/>
      <c r="P211" s="1144"/>
      <c r="Q211" s="1144"/>
      <c r="R211" s="1144"/>
      <c r="S211" s="1144"/>
      <c r="T211" s="1144"/>
      <c r="U211" s="1145" t="e">
        <f t="shared" si="84"/>
        <v>#DIV/0!</v>
      </c>
      <c r="V211" s="565"/>
      <c r="W211" s="564" t="s">
        <v>1376</v>
      </c>
      <c r="X211" s="564"/>
      <c r="Y211" s="1113" t="s">
        <v>1136</v>
      </c>
    </row>
    <row r="212" spans="1:25" s="1" customFormat="1" ht="22.5" customHeight="1" thickTop="1" thickBot="1" x14ac:dyDescent="0.3">
      <c r="A212" s="1126" t="s">
        <v>127</v>
      </c>
      <c r="B212" s="1127" t="s">
        <v>134</v>
      </c>
      <c r="C212" s="1127" t="s">
        <v>140</v>
      </c>
      <c r="D212" s="1127" t="s">
        <v>139</v>
      </c>
      <c r="E212" s="1127"/>
      <c r="F212" s="1127"/>
      <c r="G212" s="1127"/>
      <c r="H212" s="1128"/>
      <c r="I212" s="1128"/>
      <c r="J212" s="1129" t="s">
        <v>1339</v>
      </c>
      <c r="K212" s="1148"/>
      <c r="L212" s="1148"/>
      <c r="M212" s="1148"/>
      <c r="N212" s="1148">
        <f t="shared" si="85"/>
        <v>0</v>
      </c>
      <c r="O212" s="1148"/>
      <c r="P212" s="1148"/>
      <c r="Q212" s="1148"/>
      <c r="R212" s="1148"/>
      <c r="S212" s="1148"/>
      <c r="T212" s="1148"/>
      <c r="U212" s="1149" t="e">
        <f t="shared" si="84"/>
        <v>#DIV/0!</v>
      </c>
      <c r="V212" s="1127"/>
      <c r="W212" s="1126" t="s">
        <v>1377</v>
      </c>
      <c r="X212" s="1126" t="s">
        <v>1341</v>
      </c>
      <c r="Y212" s="1113" t="s">
        <v>1136</v>
      </c>
    </row>
    <row r="213" spans="1:25" s="1" customFormat="1" ht="22.5" customHeight="1" thickTop="1" thickBot="1" x14ac:dyDescent="0.3">
      <c r="A213" s="1120" t="s">
        <v>127</v>
      </c>
      <c r="B213" s="1121" t="s">
        <v>134</v>
      </c>
      <c r="C213" s="1121" t="s">
        <v>144</v>
      </c>
      <c r="D213" s="1121"/>
      <c r="E213" s="1121"/>
      <c r="F213" s="1121"/>
      <c r="G213" s="1121"/>
      <c r="H213" s="1122"/>
      <c r="I213" s="1122"/>
      <c r="J213" s="1150" t="s">
        <v>1378</v>
      </c>
      <c r="K213" s="1151">
        <f>+K214+K218+K220+K221+K222+K225+K226+K227+K228+K229+K230+K231+K235+K240</f>
        <v>25465000000</v>
      </c>
      <c r="L213" s="1151">
        <f>+L214+L218+L220+L221+L222+L225+L226+L227+L228+L229+L230+L231+L235+L240</f>
        <v>92000000</v>
      </c>
      <c r="M213" s="1151">
        <f>+M214+M218+M220+M221+M222+M225+M226+M227+M228+M229+M230+M231+M235+M240</f>
        <v>0</v>
      </c>
      <c r="N213" s="1151">
        <f t="shared" si="85"/>
        <v>25557000000</v>
      </c>
      <c r="O213" s="1151">
        <f t="shared" ref="O213:T213" si="88">+O214+O218+O220+O221+O222+O225+O226+O227+O228+O229+O230+O231+O235+O240</f>
        <v>0</v>
      </c>
      <c r="P213" s="1151">
        <f t="shared" si="88"/>
        <v>25557000000</v>
      </c>
      <c r="Q213" s="1151">
        <f t="shared" si="88"/>
        <v>0</v>
      </c>
      <c r="R213" s="1151">
        <f t="shared" si="88"/>
        <v>0</v>
      </c>
      <c r="S213" s="1151">
        <f>+S214+S218+S220+S221+S222+S225+S226+S227+S228+S229+S230+S231+S235+S240</f>
        <v>0</v>
      </c>
      <c r="T213" s="1151">
        <f t="shared" si="88"/>
        <v>11118333333</v>
      </c>
      <c r="U213" s="1152" t="e">
        <f t="shared" si="84"/>
        <v>#DIV/0!</v>
      </c>
      <c r="V213" s="1121"/>
      <c r="W213" s="1121" t="s">
        <v>1379</v>
      </c>
      <c r="X213" s="1121"/>
      <c r="Y213" s="1113" t="s">
        <v>1136</v>
      </c>
    </row>
    <row r="214" spans="1:25" s="1" customFormat="1" ht="22.5" customHeight="1" thickTop="1" thickBot="1" x14ac:dyDescent="0.3">
      <c r="A214" s="1126" t="s">
        <v>127</v>
      </c>
      <c r="B214" s="1127" t="s">
        <v>134</v>
      </c>
      <c r="C214" s="1127" t="s">
        <v>144</v>
      </c>
      <c r="D214" s="1127" t="s">
        <v>129</v>
      </c>
      <c r="E214" s="1127"/>
      <c r="F214" s="1127"/>
      <c r="G214" s="1127"/>
      <c r="H214" s="1128"/>
      <c r="I214" s="1128"/>
      <c r="J214" s="1129" t="s">
        <v>1380</v>
      </c>
      <c r="K214" s="1148">
        <f>+K215+K216+K217</f>
        <v>25465000000</v>
      </c>
      <c r="L214" s="1148">
        <f>+L215+L216+L217</f>
        <v>92000000</v>
      </c>
      <c r="M214" s="1148">
        <f>+M215+M216+M217</f>
        <v>0</v>
      </c>
      <c r="N214" s="1148">
        <f t="shared" si="85"/>
        <v>25557000000</v>
      </c>
      <c r="O214" s="1148">
        <f t="shared" ref="O214:T214" si="89">+O215+O216+O217</f>
        <v>0</v>
      </c>
      <c r="P214" s="1148">
        <f t="shared" si="89"/>
        <v>25557000000</v>
      </c>
      <c r="Q214" s="1148">
        <f t="shared" si="89"/>
        <v>0</v>
      </c>
      <c r="R214" s="1148">
        <f t="shared" si="89"/>
        <v>0</v>
      </c>
      <c r="S214" s="1148">
        <f>+S215+S216+S217</f>
        <v>0</v>
      </c>
      <c r="T214" s="1148">
        <f t="shared" si="89"/>
        <v>11118333333</v>
      </c>
      <c r="U214" s="1149" t="e">
        <f t="shared" si="84"/>
        <v>#DIV/0!</v>
      </c>
      <c r="V214" s="1127"/>
      <c r="W214" s="1126"/>
      <c r="X214" s="1126"/>
      <c r="Y214" s="1113"/>
    </row>
    <row r="215" spans="1:25" ht="22.5" customHeight="1" thickTop="1" thickBot="1" x14ac:dyDescent="0.3">
      <c r="A215" s="28" t="s">
        <v>127</v>
      </c>
      <c r="B215" s="91" t="s">
        <v>134</v>
      </c>
      <c r="C215" s="91" t="s">
        <v>144</v>
      </c>
      <c r="D215" s="91" t="s">
        <v>129</v>
      </c>
      <c r="E215" s="565" t="s">
        <v>129</v>
      </c>
      <c r="F215" s="91"/>
      <c r="G215" s="91"/>
      <c r="H215" s="91"/>
      <c r="I215" s="91"/>
      <c r="J215" s="88" t="s">
        <v>1381</v>
      </c>
      <c r="K215" s="540">
        <v>25465000000</v>
      </c>
      <c r="L215" s="540">
        <v>92000000</v>
      </c>
      <c r="M215" s="540"/>
      <c r="N215" s="540">
        <f t="shared" si="85"/>
        <v>25557000000</v>
      </c>
      <c r="O215" s="540"/>
      <c r="P215" s="540">
        <f>+N215</f>
        <v>25557000000</v>
      </c>
      <c r="Q215" s="540"/>
      <c r="R215" s="540"/>
      <c r="S215" s="540"/>
      <c r="T215" s="540">
        <v>11118333333</v>
      </c>
      <c r="U215" s="541" t="e">
        <f t="shared" si="84"/>
        <v>#DIV/0!</v>
      </c>
      <c r="V215" s="91"/>
      <c r="W215" s="28"/>
      <c r="X215" s="28"/>
      <c r="Y215" s="127"/>
    </row>
    <row r="216" spans="1:25" ht="22.5" customHeight="1" thickTop="1" thickBot="1" x14ac:dyDescent="0.3">
      <c r="A216" s="28" t="s">
        <v>127</v>
      </c>
      <c r="B216" s="91" t="s">
        <v>134</v>
      </c>
      <c r="C216" s="91" t="s">
        <v>144</v>
      </c>
      <c r="D216" s="91" t="s">
        <v>129</v>
      </c>
      <c r="E216" s="565" t="s">
        <v>134</v>
      </c>
      <c r="F216" s="91"/>
      <c r="G216" s="91"/>
      <c r="H216" s="91"/>
      <c r="I216" s="91"/>
      <c r="J216" s="88" t="s">
        <v>1382</v>
      </c>
      <c r="K216" s="540"/>
      <c r="L216" s="540"/>
      <c r="M216" s="540"/>
      <c r="N216" s="540">
        <f t="shared" si="85"/>
        <v>0</v>
      </c>
      <c r="O216" s="540"/>
      <c r="P216" s="540"/>
      <c r="Q216" s="540"/>
      <c r="R216" s="540"/>
      <c r="S216" s="540"/>
      <c r="T216" s="540"/>
      <c r="U216" s="541" t="e">
        <f t="shared" si="84"/>
        <v>#DIV/0!</v>
      </c>
      <c r="V216" s="91"/>
      <c r="W216" s="28"/>
      <c r="X216" s="28"/>
      <c r="Y216" s="127"/>
    </row>
    <row r="217" spans="1:25" ht="22.5" customHeight="1" thickTop="1" thickBot="1" x14ac:dyDescent="0.3">
      <c r="A217" s="28" t="s">
        <v>127</v>
      </c>
      <c r="B217" s="91" t="s">
        <v>134</v>
      </c>
      <c r="C217" s="91" t="s">
        <v>144</v>
      </c>
      <c r="D217" s="91" t="s">
        <v>129</v>
      </c>
      <c r="E217" s="565" t="s">
        <v>139</v>
      </c>
      <c r="F217" s="91"/>
      <c r="G217" s="91"/>
      <c r="H217" s="91"/>
      <c r="I217" s="91"/>
      <c r="J217" s="88" t="s">
        <v>1383</v>
      </c>
      <c r="K217" s="540"/>
      <c r="L217" s="540"/>
      <c r="M217" s="540"/>
      <c r="N217" s="540">
        <f t="shared" si="85"/>
        <v>0</v>
      </c>
      <c r="O217" s="540"/>
      <c r="P217" s="540"/>
      <c r="Q217" s="540"/>
      <c r="R217" s="540"/>
      <c r="S217" s="540"/>
      <c r="T217" s="540"/>
      <c r="U217" s="541" t="e">
        <f t="shared" si="84"/>
        <v>#DIV/0!</v>
      </c>
      <c r="V217" s="91"/>
      <c r="W217" s="28"/>
      <c r="X217" s="28"/>
      <c r="Y217" s="127"/>
    </row>
    <row r="218" spans="1:25" s="1" customFormat="1" ht="22.5" customHeight="1" thickTop="1" thickBot="1" x14ac:dyDescent="0.3">
      <c r="A218" s="1126" t="s">
        <v>127</v>
      </c>
      <c r="B218" s="1127" t="s">
        <v>134</v>
      </c>
      <c r="C218" s="1127" t="s">
        <v>144</v>
      </c>
      <c r="D218" s="1127" t="s">
        <v>134</v>
      </c>
      <c r="E218" s="1127"/>
      <c r="F218" s="1127"/>
      <c r="G218" s="1127"/>
      <c r="H218" s="1128"/>
      <c r="I218" s="1128"/>
      <c r="J218" s="1129" t="s">
        <v>1257</v>
      </c>
      <c r="K218" s="1148">
        <f>+K219</f>
        <v>0</v>
      </c>
      <c r="L218" s="1148">
        <f>+L219</f>
        <v>0</v>
      </c>
      <c r="M218" s="1148">
        <f>+M219</f>
        <v>0</v>
      </c>
      <c r="N218" s="1148">
        <f t="shared" si="85"/>
        <v>0</v>
      </c>
      <c r="O218" s="1148">
        <f t="shared" ref="O218:T218" si="90">+O219</f>
        <v>0</v>
      </c>
      <c r="P218" s="1148">
        <f t="shared" si="90"/>
        <v>0</v>
      </c>
      <c r="Q218" s="1148">
        <f t="shared" si="90"/>
        <v>0</v>
      </c>
      <c r="R218" s="1148">
        <f t="shared" si="90"/>
        <v>0</v>
      </c>
      <c r="S218" s="1148">
        <f>+S219</f>
        <v>0</v>
      </c>
      <c r="T218" s="1148">
        <f t="shared" si="90"/>
        <v>0</v>
      </c>
      <c r="U218" s="1149" t="e">
        <f t="shared" si="84"/>
        <v>#DIV/0!</v>
      </c>
      <c r="V218" s="1127"/>
      <c r="W218" s="1126"/>
      <c r="X218" s="1126"/>
      <c r="Y218" s="1113" t="s">
        <v>1136</v>
      </c>
    </row>
    <row r="219" spans="1:25" s="1" customFormat="1" ht="22.5" customHeight="1" thickTop="1" thickBot="1" x14ac:dyDescent="0.3">
      <c r="A219" s="564" t="s">
        <v>127</v>
      </c>
      <c r="B219" s="565" t="s">
        <v>134</v>
      </c>
      <c r="C219" s="565" t="s">
        <v>144</v>
      </c>
      <c r="D219" s="565" t="s">
        <v>134</v>
      </c>
      <c r="E219" s="565" t="s">
        <v>129</v>
      </c>
      <c r="F219" s="565"/>
      <c r="G219" s="565"/>
      <c r="H219" s="91"/>
      <c r="I219" s="91"/>
      <c r="J219" s="566" t="s">
        <v>1384</v>
      </c>
      <c r="K219" s="1144"/>
      <c r="L219" s="1144"/>
      <c r="M219" s="1144"/>
      <c r="N219" s="1144">
        <f t="shared" si="85"/>
        <v>0</v>
      </c>
      <c r="O219" s="1144"/>
      <c r="P219" s="1144"/>
      <c r="Q219" s="1144"/>
      <c r="R219" s="1144"/>
      <c r="S219" s="1144"/>
      <c r="T219" s="1144"/>
      <c r="U219" s="1145" t="e">
        <f t="shared" si="84"/>
        <v>#DIV/0!</v>
      </c>
      <c r="V219" s="565"/>
      <c r="W219" s="564"/>
      <c r="X219" s="564"/>
      <c r="Y219" s="1113" t="s">
        <v>1136</v>
      </c>
    </row>
    <row r="220" spans="1:25" s="1" customFormat="1" ht="22.5" customHeight="1" thickTop="1" thickBot="1" x14ac:dyDescent="0.3">
      <c r="A220" s="1126" t="s">
        <v>127</v>
      </c>
      <c r="B220" s="1127" t="s">
        <v>134</v>
      </c>
      <c r="C220" s="1127" t="s">
        <v>144</v>
      </c>
      <c r="D220" s="1127" t="s">
        <v>139</v>
      </c>
      <c r="E220" s="1127"/>
      <c r="F220" s="1127"/>
      <c r="G220" s="1127"/>
      <c r="H220" s="1128"/>
      <c r="I220" s="1128"/>
      <c r="J220" s="1129" t="s">
        <v>1385</v>
      </c>
      <c r="K220" s="1148"/>
      <c r="L220" s="1148"/>
      <c r="M220" s="1148"/>
      <c r="N220" s="1148">
        <f t="shared" si="85"/>
        <v>0</v>
      </c>
      <c r="O220" s="1148"/>
      <c r="P220" s="1148"/>
      <c r="Q220" s="1148"/>
      <c r="R220" s="1148"/>
      <c r="S220" s="1148"/>
      <c r="T220" s="1148"/>
      <c r="U220" s="1149" t="e">
        <f t="shared" si="84"/>
        <v>#DIV/0!</v>
      </c>
      <c r="V220" s="1127"/>
      <c r="W220" s="1126"/>
      <c r="X220" s="1126"/>
      <c r="Y220" s="1113" t="s">
        <v>1136</v>
      </c>
    </row>
    <row r="221" spans="1:25" s="1" customFormat="1" ht="22.5" customHeight="1" thickTop="1" thickBot="1" x14ac:dyDescent="0.3">
      <c r="A221" s="1126" t="s">
        <v>127</v>
      </c>
      <c r="B221" s="1127" t="s">
        <v>134</v>
      </c>
      <c r="C221" s="1127" t="s">
        <v>144</v>
      </c>
      <c r="D221" s="1127" t="s">
        <v>140</v>
      </c>
      <c r="E221" s="1127"/>
      <c r="F221" s="1127"/>
      <c r="G221" s="1127"/>
      <c r="H221" s="1128"/>
      <c r="I221" s="1128"/>
      <c r="J221" s="1129" t="s">
        <v>1386</v>
      </c>
      <c r="K221" s="1148"/>
      <c r="L221" s="1148"/>
      <c r="M221" s="1148"/>
      <c r="N221" s="1148">
        <f t="shared" si="85"/>
        <v>0</v>
      </c>
      <c r="O221" s="1148"/>
      <c r="P221" s="1148"/>
      <c r="Q221" s="1148"/>
      <c r="R221" s="1148"/>
      <c r="S221" s="1148"/>
      <c r="T221" s="1148"/>
      <c r="U221" s="1149" t="e">
        <f t="shared" si="84"/>
        <v>#DIV/0!</v>
      </c>
      <c r="V221" s="1127"/>
      <c r="W221" s="1126"/>
      <c r="X221" s="1126"/>
      <c r="Y221" s="1113" t="s">
        <v>1136</v>
      </c>
    </row>
    <row r="222" spans="1:25" s="1" customFormat="1" ht="22.5" customHeight="1" thickTop="1" thickBot="1" x14ac:dyDescent="0.3">
      <c r="A222" s="1126" t="s">
        <v>127</v>
      </c>
      <c r="B222" s="1127" t="s">
        <v>134</v>
      </c>
      <c r="C222" s="1127" t="s">
        <v>144</v>
      </c>
      <c r="D222" s="1127" t="s">
        <v>144</v>
      </c>
      <c r="E222" s="1127"/>
      <c r="F222" s="1127"/>
      <c r="G222" s="1127"/>
      <c r="H222" s="1128"/>
      <c r="I222" s="1128"/>
      <c r="J222" s="1129" t="s">
        <v>1387</v>
      </c>
      <c r="K222" s="1148">
        <f>+K223+K224</f>
        <v>0</v>
      </c>
      <c r="L222" s="1148">
        <f>+L223+L224</f>
        <v>0</v>
      </c>
      <c r="M222" s="1148">
        <f>+M223+M224</f>
        <v>0</v>
      </c>
      <c r="N222" s="1148">
        <f t="shared" si="85"/>
        <v>0</v>
      </c>
      <c r="O222" s="1148">
        <f t="shared" ref="O222:T222" si="91">+O223+O224</f>
        <v>0</v>
      </c>
      <c r="P222" s="1148">
        <f t="shared" si="91"/>
        <v>0</v>
      </c>
      <c r="Q222" s="1148">
        <f t="shared" si="91"/>
        <v>0</v>
      </c>
      <c r="R222" s="1148">
        <f t="shared" si="91"/>
        <v>0</v>
      </c>
      <c r="S222" s="1148">
        <f>+S223+S224</f>
        <v>0</v>
      </c>
      <c r="T222" s="1148">
        <f t="shared" si="91"/>
        <v>0</v>
      </c>
      <c r="U222" s="1149" t="e">
        <f t="shared" si="84"/>
        <v>#DIV/0!</v>
      </c>
      <c r="V222" s="1127"/>
      <c r="W222" s="1126"/>
      <c r="X222" s="1126"/>
      <c r="Y222" s="1113" t="s">
        <v>1136</v>
      </c>
    </row>
    <row r="223" spans="1:25" s="1" customFormat="1" ht="22.5" customHeight="1" thickTop="1" thickBot="1" x14ac:dyDescent="0.3">
      <c r="A223" s="564" t="s">
        <v>127</v>
      </c>
      <c r="B223" s="565" t="s">
        <v>134</v>
      </c>
      <c r="C223" s="565" t="s">
        <v>144</v>
      </c>
      <c r="D223" s="565" t="s">
        <v>144</v>
      </c>
      <c r="E223" s="565" t="s">
        <v>129</v>
      </c>
      <c r="F223" s="565"/>
      <c r="G223" s="565"/>
      <c r="H223" s="91"/>
      <c r="I223" s="91"/>
      <c r="J223" s="566" t="s">
        <v>1388</v>
      </c>
      <c r="K223" s="1144"/>
      <c r="L223" s="1144"/>
      <c r="M223" s="1144"/>
      <c r="N223" s="1144">
        <f t="shared" si="85"/>
        <v>0</v>
      </c>
      <c r="O223" s="1144"/>
      <c r="P223" s="1144"/>
      <c r="Q223" s="1144"/>
      <c r="R223" s="1144"/>
      <c r="S223" s="1144"/>
      <c r="T223" s="1144"/>
      <c r="U223" s="1145" t="e">
        <f t="shared" si="84"/>
        <v>#DIV/0!</v>
      </c>
      <c r="V223" s="565"/>
      <c r="W223" s="564"/>
      <c r="X223" s="564"/>
      <c r="Y223" s="1113" t="s">
        <v>1136</v>
      </c>
    </row>
    <row r="224" spans="1:25" s="1" customFormat="1" ht="22.5" customHeight="1" thickTop="1" thickBot="1" x14ac:dyDescent="0.3">
      <c r="A224" s="564" t="s">
        <v>127</v>
      </c>
      <c r="B224" s="565" t="s">
        <v>134</v>
      </c>
      <c r="C224" s="565" t="s">
        <v>144</v>
      </c>
      <c r="D224" s="565" t="s">
        <v>144</v>
      </c>
      <c r="E224" s="565" t="s">
        <v>134</v>
      </c>
      <c r="F224" s="565"/>
      <c r="G224" s="565"/>
      <c r="H224" s="91"/>
      <c r="I224" s="91"/>
      <c r="J224" s="566" t="s">
        <v>1389</v>
      </c>
      <c r="K224" s="1144"/>
      <c r="L224" s="1144"/>
      <c r="M224" s="1144"/>
      <c r="N224" s="1144">
        <f t="shared" si="85"/>
        <v>0</v>
      </c>
      <c r="O224" s="1144"/>
      <c r="P224" s="1144"/>
      <c r="Q224" s="1144"/>
      <c r="R224" s="1144"/>
      <c r="S224" s="1144"/>
      <c r="T224" s="1144"/>
      <c r="U224" s="1145" t="e">
        <f t="shared" si="84"/>
        <v>#DIV/0!</v>
      </c>
      <c r="V224" s="564"/>
      <c r="W224" s="564"/>
      <c r="X224" s="564"/>
      <c r="Y224" s="1113" t="s">
        <v>1136</v>
      </c>
    </row>
    <row r="225" spans="1:25" s="1" customFormat="1" ht="22.5" customHeight="1" thickTop="1" thickBot="1" x14ac:dyDescent="0.3">
      <c r="A225" s="1126" t="s">
        <v>127</v>
      </c>
      <c r="B225" s="1127" t="s">
        <v>134</v>
      </c>
      <c r="C225" s="1127" t="s">
        <v>144</v>
      </c>
      <c r="D225" s="1127" t="s">
        <v>145</v>
      </c>
      <c r="E225" s="1127"/>
      <c r="F225" s="1127"/>
      <c r="G225" s="1127"/>
      <c r="H225" s="1128"/>
      <c r="I225" s="1128"/>
      <c r="J225" s="1129" t="s">
        <v>1390</v>
      </c>
      <c r="K225" s="1148"/>
      <c r="L225" s="1148"/>
      <c r="M225" s="1148"/>
      <c r="N225" s="1148">
        <f t="shared" si="85"/>
        <v>0</v>
      </c>
      <c r="O225" s="1148"/>
      <c r="P225" s="1148"/>
      <c r="Q225" s="1148"/>
      <c r="R225" s="1148"/>
      <c r="S225" s="1148"/>
      <c r="T225" s="1148"/>
      <c r="U225" s="1149" t="e">
        <f t="shared" si="84"/>
        <v>#DIV/0!</v>
      </c>
      <c r="V225" s="1127"/>
      <c r="W225" s="1126"/>
      <c r="X225" s="1126"/>
      <c r="Y225" s="1113" t="s">
        <v>1136</v>
      </c>
    </row>
    <row r="226" spans="1:25" s="1" customFormat="1" ht="22.5" customHeight="1" thickTop="1" thickBot="1" x14ac:dyDescent="0.3">
      <c r="A226" s="1126" t="s">
        <v>127</v>
      </c>
      <c r="B226" s="1127" t="s">
        <v>134</v>
      </c>
      <c r="C226" s="1127" t="s">
        <v>144</v>
      </c>
      <c r="D226" s="1127" t="s">
        <v>146</v>
      </c>
      <c r="E226" s="1127"/>
      <c r="F226" s="1127"/>
      <c r="G226" s="1127"/>
      <c r="H226" s="1128"/>
      <c r="I226" s="1128"/>
      <c r="J226" s="1129" t="s">
        <v>1391</v>
      </c>
      <c r="K226" s="1148"/>
      <c r="L226" s="1148"/>
      <c r="M226" s="1148"/>
      <c r="N226" s="1148">
        <f t="shared" si="85"/>
        <v>0</v>
      </c>
      <c r="O226" s="1148"/>
      <c r="P226" s="1148"/>
      <c r="Q226" s="1148"/>
      <c r="R226" s="1148"/>
      <c r="S226" s="1148"/>
      <c r="T226" s="1148"/>
      <c r="U226" s="1149" t="e">
        <f t="shared" si="84"/>
        <v>#DIV/0!</v>
      </c>
      <c r="V226" s="1127"/>
      <c r="W226" s="1126"/>
      <c r="X226" s="1126"/>
      <c r="Y226" s="1113" t="s">
        <v>1136</v>
      </c>
    </row>
    <row r="227" spans="1:25" s="1" customFormat="1" ht="22.5" customHeight="1" thickTop="1" thickBot="1" x14ac:dyDescent="0.3">
      <c r="A227" s="1126" t="s">
        <v>127</v>
      </c>
      <c r="B227" s="1127" t="s">
        <v>134</v>
      </c>
      <c r="C227" s="1127" t="s">
        <v>144</v>
      </c>
      <c r="D227" s="1127" t="s">
        <v>147</v>
      </c>
      <c r="E227" s="1127"/>
      <c r="F227" s="1127"/>
      <c r="G227" s="1127"/>
      <c r="H227" s="1128"/>
      <c r="I227" s="1128"/>
      <c r="J227" s="1129" t="s">
        <v>1392</v>
      </c>
      <c r="K227" s="1148"/>
      <c r="L227" s="1148"/>
      <c r="M227" s="1148"/>
      <c r="N227" s="1148">
        <f t="shared" si="85"/>
        <v>0</v>
      </c>
      <c r="O227" s="1148"/>
      <c r="P227" s="1148"/>
      <c r="Q227" s="1148"/>
      <c r="R227" s="1148"/>
      <c r="S227" s="1148"/>
      <c r="T227" s="1148"/>
      <c r="U227" s="1149" t="e">
        <f t="shared" si="84"/>
        <v>#DIV/0!</v>
      </c>
      <c r="V227" s="1127"/>
      <c r="W227" s="1126"/>
      <c r="X227" s="1126"/>
      <c r="Y227" s="1113" t="s">
        <v>1136</v>
      </c>
    </row>
    <row r="228" spans="1:25" s="1" customFormat="1" ht="22.5" customHeight="1" thickTop="1" thickBot="1" x14ac:dyDescent="0.3">
      <c r="A228" s="1126" t="s">
        <v>127</v>
      </c>
      <c r="B228" s="1127" t="s">
        <v>134</v>
      </c>
      <c r="C228" s="1127" t="s">
        <v>144</v>
      </c>
      <c r="D228" s="1127" t="s">
        <v>180</v>
      </c>
      <c r="E228" s="1127"/>
      <c r="F228" s="1127"/>
      <c r="G228" s="1127"/>
      <c r="H228" s="1128"/>
      <c r="I228" s="1128"/>
      <c r="J228" s="1129" t="s">
        <v>1393</v>
      </c>
      <c r="K228" s="1148"/>
      <c r="L228" s="1148"/>
      <c r="M228" s="1148"/>
      <c r="N228" s="1148">
        <f t="shared" si="85"/>
        <v>0</v>
      </c>
      <c r="O228" s="1148"/>
      <c r="P228" s="1148"/>
      <c r="Q228" s="1148"/>
      <c r="R228" s="1148"/>
      <c r="S228" s="1148"/>
      <c r="T228" s="1148"/>
      <c r="U228" s="1149" t="e">
        <f t="shared" si="84"/>
        <v>#DIV/0!</v>
      </c>
      <c r="V228" s="1127"/>
      <c r="W228" s="1126"/>
      <c r="X228" s="1126"/>
      <c r="Y228" s="1113" t="s">
        <v>1136</v>
      </c>
    </row>
    <row r="229" spans="1:25" s="1" customFormat="1" ht="22.5" customHeight="1" thickTop="1" thickBot="1" x14ac:dyDescent="0.3">
      <c r="A229" s="1126" t="s">
        <v>127</v>
      </c>
      <c r="B229" s="1127" t="s">
        <v>134</v>
      </c>
      <c r="C229" s="1127" t="s">
        <v>144</v>
      </c>
      <c r="D229" s="1127" t="s">
        <v>181</v>
      </c>
      <c r="E229" s="1127"/>
      <c r="F229" s="1127"/>
      <c r="G229" s="1127"/>
      <c r="H229" s="1128"/>
      <c r="I229" s="1128"/>
      <c r="J229" s="1129" t="s">
        <v>1394</v>
      </c>
      <c r="K229" s="1148"/>
      <c r="L229" s="1148"/>
      <c r="M229" s="1148"/>
      <c r="N229" s="1148">
        <f t="shared" si="85"/>
        <v>0</v>
      </c>
      <c r="O229" s="1148"/>
      <c r="P229" s="1148"/>
      <c r="Q229" s="1148"/>
      <c r="R229" s="1148"/>
      <c r="S229" s="1148"/>
      <c r="T229" s="1148"/>
      <c r="U229" s="1149" t="e">
        <f t="shared" si="84"/>
        <v>#DIV/0!</v>
      </c>
      <c r="V229" s="1127"/>
      <c r="W229" s="1126"/>
      <c r="X229" s="1126"/>
      <c r="Y229" s="1113" t="s">
        <v>1136</v>
      </c>
    </row>
    <row r="230" spans="1:25" s="1" customFormat="1" ht="22.5" customHeight="1" thickTop="1" thickBot="1" x14ac:dyDescent="0.3">
      <c r="A230" s="1126" t="s">
        <v>127</v>
      </c>
      <c r="B230" s="1127" t="s">
        <v>134</v>
      </c>
      <c r="C230" s="1127" t="s">
        <v>144</v>
      </c>
      <c r="D230" s="1127" t="s">
        <v>182</v>
      </c>
      <c r="E230" s="1127"/>
      <c r="F230" s="1127"/>
      <c r="G230" s="1127"/>
      <c r="H230" s="1128"/>
      <c r="I230" s="1128"/>
      <c r="J230" s="1129" t="s">
        <v>192</v>
      </c>
      <c r="K230" s="1148"/>
      <c r="L230" s="1148"/>
      <c r="M230" s="1148"/>
      <c r="N230" s="1148">
        <f t="shared" si="85"/>
        <v>0</v>
      </c>
      <c r="O230" s="1148"/>
      <c r="P230" s="1148"/>
      <c r="Q230" s="1148"/>
      <c r="R230" s="1148"/>
      <c r="S230" s="1148"/>
      <c r="T230" s="1148"/>
      <c r="U230" s="1149" t="e">
        <f t="shared" si="84"/>
        <v>#DIV/0!</v>
      </c>
      <c r="V230" s="1127"/>
      <c r="W230" s="1126" t="s">
        <v>1395</v>
      </c>
      <c r="X230" s="1126"/>
      <c r="Y230" s="1113" t="s">
        <v>1136</v>
      </c>
    </row>
    <row r="231" spans="1:25" s="1" customFormat="1" ht="22.5" customHeight="1" thickTop="1" thickBot="1" x14ac:dyDescent="0.3">
      <c r="A231" s="1126" t="s">
        <v>127</v>
      </c>
      <c r="B231" s="1127" t="s">
        <v>134</v>
      </c>
      <c r="C231" s="1127" t="s">
        <v>144</v>
      </c>
      <c r="D231" s="1127" t="s">
        <v>183</v>
      </c>
      <c r="E231" s="1127"/>
      <c r="F231" s="1127"/>
      <c r="G231" s="1127"/>
      <c r="H231" s="1128"/>
      <c r="I231" s="1128"/>
      <c r="J231" s="1129" t="s">
        <v>52</v>
      </c>
      <c r="K231" s="1148">
        <f>+K232+K233+K234</f>
        <v>0</v>
      </c>
      <c r="L231" s="1148">
        <f>+L232+L233+L234</f>
        <v>0</v>
      </c>
      <c r="M231" s="1148">
        <f>+M232+M233+M234</f>
        <v>0</v>
      </c>
      <c r="N231" s="1148">
        <f t="shared" si="85"/>
        <v>0</v>
      </c>
      <c r="O231" s="1148">
        <f t="shared" ref="O231:T231" si="92">+O232+O233+O234</f>
        <v>0</v>
      </c>
      <c r="P231" s="1148">
        <f t="shared" si="92"/>
        <v>0</v>
      </c>
      <c r="Q231" s="1148">
        <f t="shared" si="92"/>
        <v>0</v>
      </c>
      <c r="R231" s="1148">
        <f t="shared" si="92"/>
        <v>0</v>
      </c>
      <c r="S231" s="1148">
        <f>+S232+S233+S234</f>
        <v>0</v>
      </c>
      <c r="T231" s="1148">
        <f t="shared" si="92"/>
        <v>0</v>
      </c>
      <c r="U231" s="1149" t="e">
        <f t="shared" si="84"/>
        <v>#DIV/0!</v>
      </c>
      <c r="V231" s="1127"/>
      <c r="W231" s="1126" t="s">
        <v>1396</v>
      </c>
      <c r="X231" s="1126"/>
      <c r="Y231" s="1113" t="s">
        <v>1136</v>
      </c>
    </row>
    <row r="232" spans="1:25" s="1" customFormat="1" ht="22.5" customHeight="1" thickTop="1" thickBot="1" x14ac:dyDescent="0.3">
      <c r="A232" s="564" t="s">
        <v>127</v>
      </c>
      <c r="B232" s="565" t="s">
        <v>134</v>
      </c>
      <c r="C232" s="565" t="s">
        <v>144</v>
      </c>
      <c r="D232" s="565" t="s">
        <v>183</v>
      </c>
      <c r="E232" s="565" t="s">
        <v>129</v>
      </c>
      <c r="F232" s="565"/>
      <c r="G232" s="565"/>
      <c r="H232" s="91"/>
      <c r="I232" s="91"/>
      <c r="J232" s="566" t="s">
        <v>1397</v>
      </c>
      <c r="K232" s="1144"/>
      <c r="L232" s="1144"/>
      <c r="M232" s="1144"/>
      <c r="N232" s="1144">
        <f t="shared" si="85"/>
        <v>0</v>
      </c>
      <c r="O232" s="1144"/>
      <c r="P232" s="1144"/>
      <c r="Q232" s="1144"/>
      <c r="R232" s="1144"/>
      <c r="S232" s="1144"/>
      <c r="T232" s="1144"/>
      <c r="U232" s="1145" t="e">
        <f t="shared" si="84"/>
        <v>#DIV/0!</v>
      </c>
      <c r="V232" s="564"/>
      <c r="W232" s="564" t="s">
        <v>1398</v>
      </c>
      <c r="X232" s="564"/>
      <c r="Y232" s="1113" t="s">
        <v>1136</v>
      </c>
    </row>
    <row r="233" spans="1:25" s="1" customFormat="1" ht="22.5" customHeight="1" thickTop="1" thickBot="1" x14ac:dyDescent="0.3">
      <c r="A233" s="564" t="s">
        <v>127</v>
      </c>
      <c r="B233" s="565" t="s">
        <v>134</v>
      </c>
      <c r="C233" s="565" t="s">
        <v>144</v>
      </c>
      <c r="D233" s="565" t="s">
        <v>183</v>
      </c>
      <c r="E233" s="565" t="s">
        <v>134</v>
      </c>
      <c r="F233" s="565"/>
      <c r="G233" s="565"/>
      <c r="H233" s="91"/>
      <c r="I233" s="91"/>
      <c r="J233" s="566" t="s">
        <v>1399</v>
      </c>
      <c r="K233" s="1144"/>
      <c r="L233" s="1144"/>
      <c r="M233" s="1144"/>
      <c r="N233" s="1144">
        <f t="shared" si="85"/>
        <v>0</v>
      </c>
      <c r="O233" s="1144"/>
      <c r="P233" s="1144"/>
      <c r="Q233" s="1144"/>
      <c r="R233" s="1144"/>
      <c r="S233" s="1144"/>
      <c r="T233" s="1144"/>
      <c r="U233" s="1145" t="e">
        <f t="shared" si="84"/>
        <v>#DIV/0!</v>
      </c>
      <c r="V233" s="565"/>
      <c r="W233" s="564" t="s">
        <v>1400</v>
      </c>
      <c r="X233" s="564"/>
      <c r="Y233" s="1113" t="s">
        <v>1136</v>
      </c>
    </row>
    <row r="234" spans="1:25" s="1" customFormat="1" ht="22.5" customHeight="1" thickTop="1" thickBot="1" x14ac:dyDescent="0.3">
      <c r="A234" s="564" t="s">
        <v>127</v>
      </c>
      <c r="B234" s="565" t="s">
        <v>134</v>
      </c>
      <c r="C234" s="565" t="s">
        <v>144</v>
      </c>
      <c r="D234" s="565" t="s">
        <v>183</v>
      </c>
      <c r="E234" s="565" t="s">
        <v>139</v>
      </c>
      <c r="F234" s="565"/>
      <c r="G234" s="565"/>
      <c r="H234" s="91"/>
      <c r="I234" s="91"/>
      <c r="J234" s="566" t="s">
        <v>1401</v>
      </c>
      <c r="K234" s="1144"/>
      <c r="L234" s="1144"/>
      <c r="M234" s="1144"/>
      <c r="N234" s="1144">
        <f t="shared" si="85"/>
        <v>0</v>
      </c>
      <c r="O234" s="1144"/>
      <c r="P234" s="1144"/>
      <c r="Q234" s="1144"/>
      <c r="R234" s="1144"/>
      <c r="S234" s="1144"/>
      <c r="T234" s="1144"/>
      <c r="U234" s="1145" t="e">
        <f t="shared" si="84"/>
        <v>#DIV/0!</v>
      </c>
      <c r="V234" s="564"/>
      <c r="W234" s="564" t="s">
        <v>1402</v>
      </c>
      <c r="X234" s="564"/>
      <c r="Y234" s="1113" t="s">
        <v>1136</v>
      </c>
    </row>
    <row r="235" spans="1:25" s="1" customFormat="1" ht="22.5" customHeight="1" thickTop="1" thickBot="1" x14ac:dyDescent="0.3">
      <c r="A235" s="1126" t="s">
        <v>127</v>
      </c>
      <c r="B235" s="1127" t="s">
        <v>134</v>
      </c>
      <c r="C235" s="1127" t="s">
        <v>144</v>
      </c>
      <c r="D235" s="1127" t="s">
        <v>193</v>
      </c>
      <c r="E235" s="1127"/>
      <c r="F235" s="1127"/>
      <c r="G235" s="1127"/>
      <c r="H235" s="1128"/>
      <c r="I235" s="1128"/>
      <c r="J235" s="1129" t="s">
        <v>1403</v>
      </c>
      <c r="K235" s="1148">
        <f>+K236+K239</f>
        <v>0</v>
      </c>
      <c r="L235" s="1148">
        <f>+L236+L239</f>
        <v>0</v>
      </c>
      <c r="M235" s="1148">
        <f>+M236+M239</f>
        <v>0</v>
      </c>
      <c r="N235" s="1148">
        <f t="shared" si="85"/>
        <v>0</v>
      </c>
      <c r="O235" s="1148">
        <f t="shared" ref="O235:T235" si="93">+O236+O239</f>
        <v>0</v>
      </c>
      <c r="P235" s="1148">
        <f t="shared" si="93"/>
        <v>0</v>
      </c>
      <c r="Q235" s="1148">
        <f t="shared" si="93"/>
        <v>0</v>
      </c>
      <c r="R235" s="1148">
        <f t="shared" si="93"/>
        <v>0</v>
      </c>
      <c r="S235" s="1148">
        <f>+S236+S239</f>
        <v>0</v>
      </c>
      <c r="T235" s="1148">
        <f t="shared" si="93"/>
        <v>0</v>
      </c>
      <c r="U235" s="1149" t="e">
        <f t="shared" si="84"/>
        <v>#DIV/0!</v>
      </c>
      <c r="V235" s="1127"/>
      <c r="W235" s="1127" t="s">
        <v>1404</v>
      </c>
      <c r="X235" s="1127"/>
      <c r="Y235" s="1113" t="s">
        <v>1136</v>
      </c>
    </row>
    <row r="236" spans="1:25" s="1" customFormat="1" ht="22.5" customHeight="1" thickTop="1" thickBot="1" x14ac:dyDescent="0.3">
      <c r="A236" s="564" t="s">
        <v>127</v>
      </c>
      <c r="B236" s="565" t="s">
        <v>134</v>
      </c>
      <c r="C236" s="565" t="s">
        <v>144</v>
      </c>
      <c r="D236" s="565" t="s">
        <v>193</v>
      </c>
      <c r="E236" s="565" t="s">
        <v>129</v>
      </c>
      <c r="F236" s="565"/>
      <c r="G236" s="565"/>
      <c r="H236" s="91"/>
      <c r="I236" s="91"/>
      <c r="J236" s="566" t="s">
        <v>1405</v>
      </c>
      <c r="K236" s="1153">
        <f>+K237+K238</f>
        <v>0</v>
      </c>
      <c r="L236" s="1153">
        <f>+L237+L238</f>
        <v>0</v>
      </c>
      <c r="M236" s="1153">
        <f>+M237+M238</f>
        <v>0</v>
      </c>
      <c r="N236" s="1153">
        <f t="shared" si="85"/>
        <v>0</v>
      </c>
      <c r="O236" s="1153">
        <f t="shared" ref="O236:T236" si="94">+O237+O238</f>
        <v>0</v>
      </c>
      <c r="P236" s="1153">
        <f t="shared" si="94"/>
        <v>0</v>
      </c>
      <c r="Q236" s="1153">
        <f t="shared" si="94"/>
        <v>0</v>
      </c>
      <c r="R236" s="1153">
        <f t="shared" si="94"/>
        <v>0</v>
      </c>
      <c r="S236" s="1153">
        <f>+S237+S238</f>
        <v>0</v>
      </c>
      <c r="T236" s="1153">
        <f t="shared" si="94"/>
        <v>0</v>
      </c>
      <c r="U236" s="1154" t="e">
        <f t="shared" si="84"/>
        <v>#DIV/0!</v>
      </c>
      <c r="V236" s="565"/>
      <c r="W236" s="565" t="s">
        <v>1406</v>
      </c>
      <c r="X236" s="565"/>
      <c r="Y236" s="1113" t="s">
        <v>1136</v>
      </c>
    </row>
    <row r="237" spans="1:25" ht="22.5" customHeight="1" thickTop="1" thickBot="1" x14ac:dyDescent="0.3">
      <c r="A237" s="28" t="s">
        <v>127</v>
      </c>
      <c r="B237" s="91" t="s">
        <v>134</v>
      </c>
      <c r="C237" s="91" t="s">
        <v>144</v>
      </c>
      <c r="D237" s="91" t="s">
        <v>193</v>
      </c>
      <c r="E237" s="91" t="s">
        <v>129</v>
      </c>
      <c r="F237" s="565" t="s">
        <v>129</v>
      </c>
      <c r="G237" s="91"/>
      <c r="H237" s="91"/>
      <c r="I237" s="91"/>
      <c r="J237" s="88" t="s">
        <v>1407</v>
      </c>
      <c r="K237" s="1153"/>
      <c r="L237" s="1153"/>
      <c r="M237" s="1153"/>
      <c r="N237" s="1153">
        <f t="shared" si="85"/>
        <v>0</v>
      </c>
      <c r="O237" s="1153"/>
      <c r="P237" s="1153"/>
      <c r="Q237" s="1153"/>
      <c r="R237" s="1153"/>
      <c r="S237" s="1153"/>
      <c r="T237" s="1153"/>
      <c r="U237" s="1154" t="e">
        <f t="shared" si="84"/>
        <v>#DIV/0!</v>
      </c>
      <c r="V237" s="565"/>
      <c r="W237" s="565"/>
      <c r="X237" s="565"/>
      <c r="Y237" s="1113"/>
    </row>
    <row r="238" spans="1:25" ht="22.5" customHeight="1" thickTop="1" thickBot="1" x14ac:dyDescent="0.3">
      <c r="A238" s="28" t="s">
        <v>127</v>
      </c>
      <c r="B238" s="91" t="s">
        <v>134</v>
      </c>
      <c r="C238" s="91" t="s">
        <v>144</v>
      </c>
      <c r="D238" s="91" t="s">
        <v>193</v>
      </c>
      <c r="E238" s="91" t="s">
        <v>129</v>
      </c>
      <c r="F238" s="565" t="s">
        <v>134</v>
      </c>
      <c r="G238" s="91"/>
      <c r="H238" s="91"/>
      <c r="I238" s="91"/>
      <c r="J238" s="88" t="s">
        <v>1408</v>
      </c>
      <c r="K238" s="1153"/>
      <c r="L238" s="1153"/>
      <c r="M238" s="1153"/>
      <c r="N238" s="1153">
        <f t="shared" si="85"/>
        <v>0</v>
      </c>
      <c r="O238" s="1153"/>
      <c r="P238" s="1153"/>
      <c r="Q238" s="1153"/>
      <c r="R238" s="1153"/>
      <c r="S238" s="1153"/>
      <c r="T238" s="1153"/>
      <c r="U238" s="1154" t="e">
        <f t="shared" si="84"/>
        <v>#DIV/0!</v>
      </c>
      <c r="V238" s="565"/>
      <c r="W238" s="565"/>
      <c r="X238" s="565"/>
      <c r="Y238" s="1113"/>
    </row>
    <row r="239" spans="1:25" s="1" customFormat="1" ht="22.5" customHeight="1" thickTop="1" thickBot="1" x14ac:dyDescent="0.3">
      <c r="A239" s="564" t="s">
        <v>127</v>
      </c>
      <c r="B239" s="565" t="s">
        <v>134</v>
      </c>
      <c r="C239" s="565" t="s">
        <v>144</v>
      </c>
      <c r="D239" s="565" t="s">
        <v>193</v>
      </c>
      <c r="E239" s="565" t="s">
        <v>134</v>
      </c>
      <c r="F239" s="565"/>
      <c r="G239" s="565"/>
      <c r="H239" s="91"/>
      <c r="I239" s="91"/>
      <c r="J239" s="566" t="s">
        <v>1409</v>
      </c>
      <c r="K239" s="1153"/>
      <c r="L239" s="1153"/>
      <c r="M239" s="1153"/>
      <c r="N239" s="1153">
        <f t="shared" si="85"/>
        <v>0</v>
      </c>
      <c r="O239" s="1153"/>
      <c r="P239" s="1153"/>
      <c r="Q239" s="1153"/>
      <c r="R239" s="1153"/>
      <c r="S239" s="1153"/>
      <c r="T239" s="1153"/>
      <c r="U239" s="1154" t="e">
        <f t="shared" si="84"/>
        <v>#DIV/0!</v>
      </c>
      <c r="V239" s="565"/>
      <c r="W239" s="565"/>
      <c r="X239" s="565"/>
      <c r="Y239" s="1113" t="s">
        <v>1136</v>
      </c>
    </row>
    <row r="240" spans="1:25" s="1" customFormat="1" ht="22.5" customHeight="1" thickTop="1" thickBot="1" x14ac:dyDescent="0.3">
      <c r="A240" s="1126">
        <v>1</v>
      </c>
      <c r="B240" s="1127" t="s">
        <v>134</v>
      </c>
      <c r="C240" s="1127" t="s">
        <v>144</v>
      </c>
      <c r="D240" s="1127" t="s">
        <v>194</v>
      </c>
      <c r="E240" s="1127"/>
      <c r="F240" s="1127"/>
      <c r="G240" s="1127"/>
      <c r="H240" s="1128"/>
      <c r="I240" s="1128"/>
      <c r="J240" s="1129" t="s">
        <v>1410</v>
      </c>
      <c r="K240" s="1148">
        <f>+K241+K242</f>
        <v>0</v>
      </c>
      <c r="L240" s="1148">
        <f>+L241+L242</f>
        <v>0</v>
      </c>
      <c r="M240" s="1148">
        <f>+M241+M242</f>
        <v>0</v>
      </c>
      <c r="N240" s="1148">
        <f t="shared" si="85"/>
        <v>0</v>
      </c>
      <c r="O240" s="1148">
        <f t="shared" ref="O240:T240" si="95">+O241+O242</f>
        <v>0</v>
      </c>
      <c r="P240" s="1148">
        <f t="shared" si="95"/>
        <v>0</v>
      </c>
      <c r="Q240" s="1148">
        <f t="shared" si="95"/>
        <v>0</v>
      </c>
      <c r="R240" s="1148">
        <f t="shared" si="95"/>
        <v>0</v>
      </c>
      <c r="S240" s="1148">
        <f>+S241+S242</f>
        <v>0</v>
      </c>
      <c r="T240" s="1148">
        <f t="shared" si="95"/>
        <v>0</v>
      </c>
      <c r="U240" s="1149" t="e">
        <f t="shared" si="84"/>
        <v>#DIV/0!</v>
      </c>
      <c r="V240" s="1127"/>
      <c r="W240" s="1127"/>
      <c r="X240" s="1127"/>
      <c r="Y240" s="1113"/>
    </row>
    <row r="241" spans="1:25" ht="22.5" customHeight="1" thickTop="1" thickBot="1" x14ac:dyDescent="0.3">
      <c r="A241" s="28">
        <v>1</v>
      </c>
      <c r="B241" s="91" t="s">
        <v>134</v>
      </c>
      <c r="C241" s="91" t="s">
        <v>144</v>
      </c>
      <c r="D241" s="91" t="s">
        <v>194</v>
      </c>
      <c r="E241" s="565" t="s">
        <v>129</v>
      </c>
      <c r="F241" s="91"/>
      <c r="G241" s="91"/>
      <c r="H241" s="91"/>
      <c r="I241" s="91"/>
      <c r="J241" s="88" t="s">
        <v>1411</v>
      </c>
      <c r="K241" s="540"/>
      <c r="L241" s="540"/>
      <c r="M241" s="540"/>
      <c r="N241" s="540">
        <f t="shared" si="85"/>
        <v>0</v>
      </c>
      <c r="O241" s="540"/>
      <c r="P241" s="540"/>
      <c r="Q241" s="540"/>
      <c r="R241" s="540"/>
      <c r="S241" s="540"/>
      <c r="T241" s="540"/>
      <c r="U241" s="541" t="e">
        <f t="shared" si="84"/>
        <v>#DIV/0!</v>
      </c>
      <c r="V241" s="91"/>
      <c r="W241" s="91"/>
      <c r="X241" s="91"/>
      <c r="Y241" s="127"/>
    </row>
    <row r="242" spans="1:25" ht="22.5" customHeight="1" thickTop="1" thickBot="1" x14ac:dyDescent="0.3">
      <c r="A242" s="28">
        <v>1</v>
      </c>
      <c r="B242" s="91" t="s">
        <v>134</v>
      </c>
      <c r="C242" s="91" t="s">
        <v>144</v>
      </c>
      <c r="D242" s="91" t="s">
        <v>194</v>
      </c>
      <c r="E242" s="565" t="s">
        <v>134</v>
      </c>
      <c r="F242" s="91"/>
      <c r="G242" s="91"/>
      <c r="H242" s="91"/>
      <c r="I242" s="91"/>
      <c r="J242" s="88" t="s">
        <v>1412</v>
      </c>
      <c r="K242" s="540"/>
      <c r="L242" s="540"/>
      <c r="M242" s="540"/>
      <c r="N242" s="540">
        <f t="shared" si="85"/>
        <v>0</v>
      </c>
      <c r="O242" s="540"/>
      <c r="P242" s="540"/>
      <c r="Q242" s="540"/>
      <c r="R242" s="540"/>
      <c r="S242" s="540"/>
      <c r="T242" s="540"/>
      <c r="U242" s="541" t="e">
        <f t="shared" si="84"/>
        <v>#DIV/0!</v>
      </c>
      <c r="V242" s="91"/>
      <c r="W242" s="91"/>
      <c r="X242" s="91"/>
      <c r="Y242" s="127"/>
    </row>
    <row r="243" spans="1:25" s="1" customFormat="1" ht="22.5" customHeight="1" thickTop="1" thickBot="1" x14ac:dyDescent="0.3">
      <c r="A243" s="1120" t="s">
        <v>127</v>
      </c>
      <c r="B243" s="1121" t="s">
        <v>134</v>
      </c>
      <c r="C243" s="1121" t="s">
        <v>145</v>
      </c>
      <c r="D243" s="1121"/>
      <c r="E243" s="1121"/>
      <c r="F243" s="1121"/>
      <c r="G243" s="1121"/>
      <c r="H243" s="1122"/>
      <c r="I243" s="1122"/>
      <c r="J243" s="1123" t="s">
        <v>1413</v>
      </c>
      <c r="K243" s="1155">
        <f t="shared" ref="K243:T243" si="96">+K244+K246+K247+K253+K254+K255</f>
        <v>0</v>
      </c>
      <c r="L243" s="1155">
        <f t="shared" si="96"/>
        <v>0</v>
      </c>
      <c r="M243" s="1155">
        <f t="shared" si="96"/>
        <v>0</v>
      </c>
      <c r="N243" s="1155">
        <f t="shared" si="96"/>
        <v>0</v>
      </c>
      <c r="O243" s="1155">
        <f t="shared" si="96"/>
        <v>0</v>
      </c>
      <c r="P243" s="1155">
        <f t="shared" si="96"/>
        <v>0</v>
      </c>
      <c r="Q243" s="1155">
        <f t="shared" si="96"/>
        <v>0</v>
      </c>
      <c r="R243" s="1155">
        <f t="shared" si="96"/>
        <v>0</v>
      </c>
      <c r="S243" s="1155">
        <f t="shared" si="96"/>
        <v>0</v>
      </c>
      <c r="T243" s="1155">
        <f t="shared" si="96"/>
        <v>0</v>
      </c>
      <c r="U243" s="1156" t="e">
        <f t="shared" si="84"/>
        <v>#DIV/0!</v>
      </c>
      <c r="V243" s="1121"/>
      <c r="W243" s="1121" t="s">
        <v>1414</v>
      </c>
      <c r="X243" s="1121" t="s">
        <v>1415</v>
      </c>
      <c r="Y243" s="1113" t="s">
        <v>1136</v>
      </c>
    </row>
    <row r="244" spans="1:25" s="1" customFormat="1" ht="22.5" customHeight="1" thickTop="1" thickBot="1" x14ac:dyDescent="0.3">
      <c r="A244" s="1126" t="s">
        <v>127</v>
      </c>
      <c r="B244" s="1127" t="s">
        <v>134</v>
      </c>
      <c r="C244" s="1127" t="s">
        <v>145</v>
      </c>
      <c r="D244" s="1127" t="s">
        <v>129</v>
      </c>
      <c r="E244" s="1127"/>
      <c r="F244" s="1127"/>
      <c r="G244" s="1127"/>
      <c r="H244" s="1128"/>
      <c r="I244" s="1128"/>
      <c r="J244" s="1129" t="s">
        <v>1416</v>
      </c>
      <c r="K244" s="1148">
        <f>+K245</f>
        <v>0</v>
      </c>
      <c r="L244" s="1148">
        <f>+L245</f>
        <v>0</v>
      </c>
      <c r="M244" s="1148">
        <f>+M245</f>
        <v>0</v>
      </c>
      <c r="N244" s="1148">
        <f t="shared" ref="N244:N301" si="97">K244+L244-M244</f>
        <v>0</v>
      </c>
      <c r="O244" s="1148">
        <f t="shared" ref="O244:T244" si="98">+O245</f>
        <v>0</v>
      </c>
      <c r="P244" s="1148">
        <f t="shared" si="98"/>
        <v>0</v>
      </c>
      <c r="Q244" s="1148">
        <f t="shared" si="98"/>
        <v>0</v>
      </c>
      <c r="R244" s="1148">
        <f t="shared" si="98"/>
        <v>0</v>
      </c>
      <c r="S244" s="1148">
        <f t="shared" si="98"/>
        <v>0</v>
      </c>
      <c r="T244" s="1148">
        <f t="shared" si="98"/>
        <v>0</v>
      </c>
      <c r="U244" s="1149" t="e">
        <f t="shared" si="84"/>
        <v>#DIV/0!</v>
      </c>
      <c r="V244" s="1127"/>
      <c r="W244" s="1126"/>
      <c r="X244" s="1126"/>
      <c r="Y244" s="1113" t="s">
        <v>1136</v>
      </c>
    </row>
    <row r="245" spans="1:25" s="1" customFormat="1" ht="22.5" customHeight="1" thickTop="1" thickBot="1" x14ac:dyDescent="0.3">
      <c r="A245" s="564" t="s">
        <v>127</v>
      </c>
      <c r="B245" s="565" t="s">
        <v>134</v>
      </c>
      <c r="C245" s="565" t="s">
        <v>145</v>
      </c>
      <c r="D245" s="565" t="s">
        <v>129</v>
      </c>
      <c r="E245" s="565" t="s">
        <v>129</v>
      </c>
      <c r="F245" s="565"/>
      <c r="G245" s="565"/>
      <c r="H245" s="91"/>
      <c r="I245" s="91"/>
      <c r="J245" s="566" t="s">
        <v>1417</v>
      </c>
      <c r="K245" s="1144"/>
      <c r="L245" s="1144"/>
      <c r="M245" s="1144"/>
      <c r="N245" s="1144">
        <f t="shared" si="97"/>
        <v>0</v>
      </c>
      <c r="O245" s="1144"/>
      <c r="P245" s="1144"/>
      <c r="Q245" s="1144"/>
      <c r="R245" s="1144"/>
      <c r="S245" s="1144"/>
      <c r="T245" s="1144"/>
      <c r="U245" s="1145" t="e">
        <f t="shared" si="84"/>
        <v>#DIV/0!</v>
      </c>
      <c r="V245" s="565"/>
      <c r="W245" s="564"/>
      <c r="X245" s="564"/>
      <c r="Y245" s="1113" t="s">
        <v>1136</v>
      </c>
    </row>
    <row r="246" spans="1:25" s="1" customFormat="1" ht="22.5" customHeight="1" thickTop="1" thickBot="1" x14ac:dyDescent="0.3">
      <c r="A246" s="1126" t="s">
        <v>127</v>
      </c>
      <c r="B246" s="1127" t="s">
        <v>134</v>
      </c>
      <c r="C246" s="1127" t="s">
        <v>145</v>
      </c>
      <c r="D246" s="1127" t="s">
        <v>134</v>
      </c>
      <c r="E246" s="1127"/>
      <c r="F246" s="1127"/>
      <c r="G246" s="1127"/>
      <c r="H246" s="1128"/>
      <c r="I246" s="1128"/>
      <c r="J246" s="1129" t="s">
        <v>1418</v>
      </c>
      <c r="K246" s="1148"/>
      <c r="L246" s="1148"/>
      <c r="M246" s="1148"/>
      <c r="N246" s="1148">
        <f t="shared" si="97"/>
        <v>0</v>
      </c>
      <c r="O246" s="1148"/>
      <c r="P246" s="1148"/>
      <c r="Q246" s="1148"/>
      <c r="R246" s="1148"/>
      <c r="S246" s="1148"/>
      <c r="T246" s="1148"/>
      <c r="U246" s="1149" t="e">
        <f t="shared" si="84"/>
        <v>#DIV/0!</v>
      </c>
      <c r="V246" s="1127"/>
      <c r="W246" s="1126"/>
      <c r="X246" s="1126"/>
      <c r="Y246" s="1113" t="s">
        <v>1136</v>
      </c>
    </row>
    <row r="247" spans="1:25" s="1" customFormat="1" ht="22.5" customHeight="1" thickTop="1" thickBot="1" x14ac:dyDescent="0.3">
      <c r="A247" s="1126" t="s">
        <v>127</v>
      </c>
      <c r="B247" s="1127" t="s">
        <v>134</v>
      </c>
      <c r="C247" s="1127" t="s">
        <v>145</v>
      </c>
      <c r="D247" s="1127" t="s">
        <v>139</v>
      </c>
      <c r="E247" s="1127"/>
      <c r="F247" s="1127"/>
      <c r="G247" s="1127"/>
      <c r="H247" s="1128"/>
      <c r="I247" s="1128"/>
      <c r="J247" s="1129" t="s">
        <v>1419</v>
      </c>
      <c r="K247" s="1148">
        <f>+K248+K249+K250+K251+K252</f>
        <v>0</v>
      </c>
      <c r="L247" s="1148">
        <f>+L248+L249+L250+L251+L252</f>
        <v>0</v>
      </c>
      <c r="M247" s="1148">
        <f>+M248+M249+M250+M251+M252</f>
        <v>0</v>
      </c>
      <c r="N247" s="1148">
        <f t="shared" si="97"/>
        <v>0</v>
      </c>
      <c r="O247" s="1148">
        <f t="shared" ref="O247:T247" si="99">+O248+O249+O250+O251+O252</f>
        <v>0</v>
      </c>
      <c r="P247" s="1148">
        <f t="shared" si="99"/>
        <v>0</v>
      </c>
      <c r="Q247" s="1148">
        <f t="shared" si="99"/>
        <v>0</v>
      </c>
      <c r="R247" s="1148">
        <f t="shared" si="99"/>
        <v>0</v>
      </c>
      <c r="S247" s="1148">
        <f t="shared" si="99"/>
        <v>0</v>
      </c>
      <c r="T247" s="1148">
        <f t="shared" si="99"/>
        <v>0</v>
      </c>
      <c r="U247" s="1149" t="e">
        <f t="shared" si="84"/>
        <v>#DIV/0!</v>
      </c>
      <c r="V247" s="1127"/>
      <c r="W247" s="1126"/>
      <c r="X247" s="1126"/>
      <c r="Y247" s="1113" t="s">
        <v>1136</v>
      </c>
    </row>
    <row r="248" spans="1:25" ht="22.5" customHeight="1" thickTop="1" thickBot="1" x14ac:dyDescent="0.3">
      <c r="A248" s="28" t="s">
        <v>127</v>
      </c>
      <c r="B248" s="91" t="s">
        <v>134</v>
      </c>
      <c r="C248" s="91" t="s">
        <v>145</v>
      </c>
      <c r="D248" s="91" t="s">
        <v>139</v>
      </c>
      <c r="E248" s="565" t="s">
        <v>129</v>
      </c>
      <c r="F248" s="91"/>
      <c r="G248" s="91"/>
      <c r="H248" s="91"/>
      <c r="I248" s="91"/>
      <c r="J248" s="88" t="s">
        <v>1420</v>
      </c>
      <c r="K248" s="1146"/>
      <c r="L248" s="1146"/>
      <c r="M248" s="1146"/>
      <c r="N248" s="1146">
        <f t="shared" si="97"/>
        <v>0</v>
      </c>
      <c r="O248" s="1146"/>
      <c r="P248" s="1146"/>
      <c r="Q248" s="1146"/>
      <c r="R248" s="1146"/>
      <c r="S248" s="1146"/>
      <c r="T248" s="1146"/>
      <c r="U248" s="1147" t="e">
        <f t="shared" si="84"/>
        <v>#DIV/0!</v>
      </c>
      <c r="V248" s="28"/>
      <c r="W248" s="28"/>
      <c r="X248" s="28"/>
      <c r="Y248" s="127" t="s">
        <v>1136</v>
      </c>
    </row>
    <row r="249" spans="1:25" ht="22.5" customHeight="1" thickTop="1" thickBot="1" x14ac:dyDescent="0.3">
      <c r="A249" s="28" t="s">
        <v>127</v>
      </c>
      <c r="B249" s="91" t="s">
        <v>134</v>
      </c>
      <c r="C249" s="91" t="s">
        <v>145</v>
      </c>
      <c r="D249" s="91" t="s">
        <v>139</v>
      </c>
      <c r="E249" s="565" t="s">
        <v>134</v>
      </c>
      <c r="F249" s="91"/>
      <c r="G249" s="91"/>
      <c r="H249" s="91"/>
      <c r="I249" s="91"/>
      <c r="J249" s="88" t="s">
        <v>1421</v>
      </c>
      <c r="K249" s="1146"/>
      <c r="L249" s="1146"/>
      <c r="M249" s="1146"/>
      <c r="N249" s="1146">
        <f t="shared" si="97"/>
        <v>0</v>
      </c>
      <c r="O249" s="1146"/>
      <c r="P249" s="1146"/>
      <c r="Q249" s="1146"/>
      <c r="R249" s="1146"/>
      <c r="S249" s="1146"/>
      <c r="T249" s="1146"/>
      <c r="U249" s="1147" t="e">
        <f t="shared" si="84"/>
        <v>#DIV/0!</v>
      </c>
      <c r="V249" s="28"/>
      <c r="W249" s="28"/>
      <c r="X249" s="28"/>
      <c r="Y249" s="127" t="s">
        <v>1136</v>
      </c>
    </row>
    <row r="250" spans="1:25" ht="22.5" customHeight="1" thickTop="1" thickBot="1" x14ac:dyDescent="0.3">
      <c r="A250" s="28" t="s">
        <v>127</v>
      </c>
      <c r="B250" s="91" t="s">
        <v>134</v>
      </c>
      <c r="C250" s="91" t="s">
        <v>145</v>
      </c>
      <c r="D250" s="91" t="s">
        <v>139</v>
      </c>
      <c r="E250" s="565" t="s">
        <v>139</v>
      </c>
      <c r="F250" s="91"/>
      <c r="G250" s="91"/>
      <c r="H250" s="91"/>
      <c r="I250" s="91"/>
      <c r="J250" s="88" t="s">
        <v>1422</v>
      </c>
      <c r="K250" s="1146"/>
      <c r="L250" s="1146"/>
      <c r="M250" s="1146"/>
      <c r="N250" s="1146">
        <f t="shared" si="97"/>
        <v>0</v>
      </c>
      <c r="O250" s="1146"/>
      <c r="P250" s="1146"/>
      <c r="Q250" s="1146"/>
      <c r="R250" s="1146"/>
      <c r="S250" s="1146"/>
      <c r="T250" s="1146"/>
      <c r="U250" s="1147" t="e">
        <f t="shared" si="84"/>
        <v>#DIV/0!</v>
      </c>
      <c r="V250" s="28"/>
      <c r="W250" s="28"/>
      <c r="X250" s="28"/>
      <c r="Y250" s="127" t="s">
        <v>1136</v>
      </c>
    </row>
    <row r="251" spans="1:25" ht="22.5" customHeight="1" thickTop="1" thickBot="1" x14ac:dyDescent="0.3">
      <c r="A251" s="28" t="s">
        <v>127</v>
      </c>
      <c r="B251" s="91" t="s">
        <v>134</v>
      </c>
      <c r="C251" s="91" t="s">
        <v>145</v>
      </c>
      <c r="D251" s="91" t="s">
        <v>139</v>
      </c>
      <c r="E251" s="565" t="s">
        <v>140</v>
      </c>
      <c r="F251" s="91"/>
      <c r="G251" s="91"/>
      <c r="H251" s="91"/>
      <c r="I251" s="91"/>
      <c r="J251" s="88" t="s">
        <v>1423</v>
      </c>
      <c r="K251" s="1146"/>
      <c r="L251" s="1146"/>
      <c r="M251" s="1146"/>
      <c r="N251" s="1146">
        <f t="shared" si="97"/>
        <v>0</v>
      </c>
      <c r="O251" s="1146"/>
      <c r="P251" s="1146"/>
      <c r="Q251" s="1146"/>
      <c r="R251" s="1146"/>
      <c r="S251" s="1146"/>
      <c r="T251" s="1146"/>
      <c r="U251" s="1147" t="e">
        <f t="shared" si="84"/>
        <v>#DIV/0!</v>
      </c>
      <c r="V251" s="28"/>
      <c r="W251" s="28"/>
      <c r="X251" s="28"/>
      <c r="Y251" s="127" t="s">
        <v>1136</v>
      </c>
    </row>
    <row r="252" spans="1:25" ht="22.5" customHeight="1" thickTop="1" thickBot="1" x14ac:dyDescent="0.3">
      <c r="A252" s="28" t="s">
        <v>127</v>
      </c>
      <c r="B252" s="91" t="s">
        <v>134</v>
      </c>
      <c r="C252" s="91" t="s">
        <v>145</v>
      </c>
      <c r="D252" s="91" t="s">
        <v>139</v>
      </c>
      <c r="E252" s="565" t="s">
        <v>144</v>
      </c>
      <c r="F252" s="91"/>
      <c r="G252" s="91"/>
      <c r="H252" s="91"/>
      <c r="I252" s="91"/>
      <c r="J252" s="88" t="s">
        <v>1424</v>
      </c>
      <c r="K252" s="1146"/>
      <c r="L252" s="1146"/>
      <c r="M252" s="1146"/>
      <c r="N252" s="1146">
        <f t="shared" si="97"/>
        <v>0</v>
      </c>
      <c r="O252" s="1146"/>
      <c r="P252" s="1146"/>
      <c r="Q252" s="1146"/>
      <c r="R252" s="1146"/>
      <c r="S252" s="1146"/>
      <c r="T252" s="1146"/>
      <c r="U252" s="1147" t="e">
        <f t="shared" si="84"/>
        <v>#DIV/0!</v>
      </c>
      <c r="V252" s="28"/>
      <c r="W252" s="28"/>
      <c r="X252" s="28"/>
      <c r="Y252" s="127" t="s">
        <v>1136</v>
      </c>
    </row>
    <row r="253" spans="1:25" s="1" customFormat="1" ht="22.5" customHeight="1" thickTop="1" thickBot="1" x14ac:dyDescent="0.3">
      <c r="A253" s="1126" t="s">
        <v>127</v>
      </c>
      <c r="B253" s="1127" t="s">
        <v>134</v>
      </c>
      <c r="C253" s="1127" t="s">
        <v>145</v>
      </c>
      <c r="D253" s="1127" t="s">
        <v>140</v>
      </c>
      <c r="E253" s="1127"/>
      <c r="F253" s="1127"/>
      <c r="G253" s="1127"/>
      <c r="H253" s="1128"/>
      <c r="I253" s="1128"/>
      <c r="J253" s="1129" t="s">
        <v>1425</v>
      </c>
      <c r="K253" s="1148"/>
      <c r="L253" s="1148"/>
      <c r="M253" s="1148"/>
      <c r="N253" s="1148">
        <f t="shared" si="97"/>
        <v>0</v>
      </c>
      <c r="O253" s="1148"/>
      <c r="P253" s="1148"/>
      <c r="Q253" s="1148"/>
      <c r="R253" s="1148"/>
      <c r="S253" s="1148"/>
      <c r="T253" s="1148"/>
      <c r="U253" s="1149" t="e">
        <f t="shared" si="84"/>
        <v>#DIV/0!</v>
      </c>
      <c r="V253" s="1127"/>
      <c r="W253" s="1126"/>
      <c r="X253" s="1126"/>
      <c r="Y253" s="1113" t="s">
        <v>1136</v>
      </c>
    </row>
    <row r="254" spans="1:25" s="1" customFormat="1" ht="22.5" customHeight="1" thickTop="1" thickBot="1" x14ac:dyDescent="0.3">
      <c r="A254" s="1126" t="s">
        <v>127</v>
      </c>
      <c r="B254" s="1127" t="s">
        <v>134</v>
      </c>
      <c r="C254" s="1127" t="s">
        <v>145</v>
      </c>
      <c r="D254" s="1127" t="s">
        <v>144</v>
      </c>
      <c r="E254" s="1127"/>
      <c r="F254" s="1127"/>
      <c r="G254" s="1127"/>
      <c r="H254" s="1128"/>
      <c r="I254" s="1128"/>
      <c r="J254" s="1129" t="s">
        <v>1426</v>
      </c>
      <c r="K254" s="1148"/>
      <c r="L254" s="1148"/>
      <c r="M254" s="1148"/>
      <c r="N254" s="1148">
        <f t="shared" si="97"/>
        <v>0</v>
      </c>
      <c r="O254" s="1148"/>
      <c r="P254" s="1148"/>
      <c r="Q254" s="1148"/>
      <c r="R254" s="1148"/>
      <c r="S254" s="1148"/>
      <c r="T254" s="1148"/>
      <c r="U254" s="1149" t="e">
        <f t="shared" si="84"/>
        <v>#DIV/0!</v>
      </c>
      <c r="V254" s="1127"/>
      <c r="W254" s="1126"/>
      <c r="X254" s="1126"/>
      <c r="Y254" s="1113" t="s">
        <v>1136</v>
      </c>
    </row>
    <row r="255" spans="1:25" s="1" customFormat="1" ht="22.5" customHeight="1" thickTop="1" thickBot="1" x14ac:dyDescent="0.3">
      <c r="A255" s="1126">
        <v>1</v>
      </c>
      <c r="B255" s="1127" t="s">
        <v>134</v>
      </c>
      <c r="C255" s="1127" t="s">
        <v>145</v>
      </c>
      <c r="D255" s="1127" t="s">
        <v>145</v>
      </c>
      <c r="E255" s="1127"/>
      <c r="F255" s="1127"/>
      <c r="G255" s="1127"/>
      <c r="H255" s="1128"/>
      <c r="I255" s="1128"/>
      <c r="J255" s="1129" t="s">
        <v>195</v>
      </c>
      <c r="K255" s="1148"/>
      <c r="L255" s="1148"/>
      <c r="M255" s="1148"/>
      <c r="N255" s="1148">
        <f t="shared" si="97"/>
        <v>0</v>
      </c>
      <c r="O255" s="1148"/>
      <c r="P255" s="1148"/>
      <c r="Q255" s="1148"/>
      <c r="R255" s="1148"/>
      <c r="S255" s="1148"/>
      <c r="T255" s="1148"/>
      <c r="U255" s="1149" t="e">
        <f t="shared" si="84"/>
        <v>#DIV/0!</v>
      </c>
      <c r="V255" s="1127"/>
      <c r="W255" s="1126"/>
      <c r="X255" s="1126"/>
      <c r="Y255" s="1113"/>
    </row>
    <row r="256" spans="1:25" s="1" customFormat="1" ht="22.5" customHeight="1" thickTop="1" thickBot="1" x14ac:dyDescent="0.3">
      <c r="A256" s="1120" t="s">
        <v>127</v>
      </c>
      <c r="B256" s="1121" t="s">
        <v>134</v>
      </c>
      <c r="C256" s="1121" t="s">
        <v>146</v>
      </c>
      <c r="D256" s="1121"/>
      <c r="E256" s="1121"/>
      <c r="F256" s="1121"/>
      <c r="G256" s="1121"/>
      <c r="H256" s="1122"/>
      <c r="I256" s="1122"/>
      <c r="J256" s="1123" t="s">
        <v>196</v>
      </c>
      <c r="K256" s="1141">
        <f>+K257+K269+K281</f>
        <v>0</v>
      </c>
      <c r="L256" s="1141">
        <f>+L257+L269+L281</f>
        <v>0</v>
      </c>
      <c r="M256" s="1141">
        <f>+M257+M269+M281</f>
        <v>0</v>
      </c>
      <c r="N256" s="1141">
        <f t="shared" si="97"/>
        <v>0</v>
      </c>
      <c r="O256" s="1141">
        <f t="shared" ref="O256:T256" si="100">+O257+O269+O281</f>
        <v>0</v>
      </c>
      <c r="P256" s="1141">
        <f t="shared" si="100"/>
        <v>0</v>
      </c>
      <c r="Q256" s="1141">
        <f t="shared" si="100"/>
        <v>0</v>
      </c>
      <c r="R256" s="1141">
        <f t="shared" si="100"/>
        <v>0</v>
      </c>
      <c r="S256" s="1141">
        <f t="shared" si="100"/>
        <v>0</v>
      </c>
      <c r="T256" s="1141">
        <f t="shared" si="100"/>
        <v>0</v>
      </c>
      <c r="U256" s="1125" t="e">
        <f t="shared" si="84"/>
        <v>#DIV/0!</v>
      </c>
      <c r="V256" s="1121"/>
      <c r="W256" s="1121" t="s">
        <v>1427</v>
      </c>
      <c r="X256" s="1121"/>
      <c r="Y256" s="1113" t="s">
        <v>1136</v>
      </c>
    </row>
    <row r="257" spans="1:16373" s="1" customFormat="1" ht="22.5" customHeight="1" thickTop="1" thickBot="1" x14ac:dyDescent="0.3">
      <c r="A257" s="1126" t="s">
        <v>127</v>
      </c>
      <c r="B257" s="1127" t="s">
        <v>134</v>
      </c>
      <c r="C257" s="1127" t="s">
        <v>146</v>
      </c>
      <c r="D257" s="1127" t="s">
        <v>129</v>
      </c>
      <c r="E257" s="1127"/>
      <c r="F257" s="1127"/>
      <c r="G257" s="1127"/>
      <c r="H257" s="1128"/>
      <c r="I257" s="1128"/>
      <c r="J257" s="1129" t="s">
        <v>1428</v>
      </c>
      <c r="K257" s="1136">
        <f>+K258+K260+K261+K267+K268</f>
        <v>0</v>
      </c>
      <c r="L257" s="1136">
        <f>+L258+L260+L261+L267+L268</f>
        <v>0</v>
      </c>
      <c r="M257" s="1136">
        <f>+M258+M260+M261+M267+M268</f>
        <v>0</v>
      </c>
      <c r="N257" s="1136">
        <f t="shared" si="97"/>
        <v>0</v>
      </c>
      <c r="O257" s="1136">
        <f t="shared" ref="O257:T257" si="101">+O258+O260+O261+O267+O268</f>
        <v>0</v>
      </c>
      <c r="P257" s="1136">
        <f t="shared" si="101"/>
        <v>0</v>
      </c>
      <c r="Q257" s="1136">
        <f t="shared" si="101"/>
        <v>0</v>
      </c>
      <c r="R257" s="1136">
        <f t="shared" si="101"/>
        <v>0</v>
      </c>
      <c r="S257" s="1136">
        <f t="shared" si="101"/>
        <v>0</v>
      </c>
      <c r="T257" s="1136">
        <f t="shared" si="101"/>
        <v>0</v>
      </c>
      <c r="U257" s="1131" t="e">
        <f t="shared" si="84"/>
        <v>#DIV/0!</v>
      </c>
      <c r="V257" s="1127"/>
      <c r="W257" s="1127"/>
      <c r="X257" s="1127"/>
      <c r="Y257" s="1113" t="s">
        <v>1136</v>
      </c>
    </row>
    <row r="258" spans="1:16373" s="1" customFormat="1" ht="22.5" customHeight="1" thickTop="1" thickBot="1" x14ac:dyDescent="0.3">
      <c r="A258" s="564" t="s">
        <v>127</v>
      </c>
      <c r="B258" s="565" t="s">
        <v>134</v>
      </c>
      <c r="C258" s="565" t="s">
        <v>146</v>
      </c>
      <c r="D258" s="565" t="s">
        <v>129</v>
      </c>
      <c r="E258" s="565" t="s">
        <v>129</v>
      </c>
      <c r="F258" s="565"/>
      <c r="G258" s="565"/>
      <c r="H258" s="91"/>
      <c r="I258" s="91"/>
      <c r="J258" s="566" t="s">
        <v>1429</v>
      </c>
      <c r="K258" s="1138">
        <f t="shared" ref="K258:T258" si="102">+K259</f>
        <v>0</v>
      </c>
      <c r="L258" s="1138">
        <f>+L259</f>
        <v>0</v>
      </c>
      <c r="M258" s="1138">
        <f>+M259</f>
        <v>0</v>
      </c>
      <c r="N258" s="1138">
        <f t="shared" si="97"/>
        <v>0</v>
      </c>
      <c r="O258" s="1138">
        <f t="shared" si="102"/>
        <v>0</v>
      </c>
      <c r="P258" s="1138">
        <f t="shared" si="102"/>
        <v>0</v>
      </c>
      <c r="Q258" s="1138">
        <f t="shared" si="102"/>
        <v>0</v>
      </c>
      <c r="R258" s="1138">
        <f t="shared" si="102"/>
        <v>0</v>
      </c>
      <c r="S258" s="1138">
        <f t="shared" si="102"/>
        <v>0</v>
      </c>
      <c r="T258" s="1138">
        <f t="shared" si="102"/>
        <v>0</v>
      </c>
      <c r="U258" s="1133" t="e">
        <f t="shared" si="84"/>
        <v>#DIV/0!</v>
      </c>
      <c r="V258" s="565"/>
      <c r="W258" s="564"/>
      <c r="X258" s="564"/>
      <c r="Y258" s="1113" t="s">
        <v>1136</v>
      </c>
    </row>
    <row r="259" spans="1:16373" ht="22.5" customHeight="1" thickTop="1" thickBot="1" x14ac:dyDescent="0.3">
      <c r="A259" s="28" t="s">
        <v>127</v>
      </c>
      <c r="B259" s="91" t="s">
        <v>134</v>
      </c>
      <c r="C259" s="91" t="s">
        <v>146</v>
      </c>
      <c r="D259" s="91" t="s">
        <v>129</v>
      </c>
      <c r="E259" s="91" t="s">
        <v>129</v>
      </c>
      <c r="F259" s="565" t="s">
        <v>129</v>
      </c>
      <c r="G259" s="91"/>
      <c r="H259" s="91"/>
      <c r="I259" s="91"/>
      <c r="J259" s="88" t="s">
        <v>1430</v>
      </c>
      <c r="K259" s="1139"/>
      <c r="L259" s="1139"/>
      <c r="M259" s="1139"/>
      <c r="N259" s="1139">
        <f t="shared" si="97"/>
        <v>0</v>
      </c>
      <c r="O259" s="1139"/>
      <c r="P259" s="1139"/>
      <c r="Q259" s="1139"/>
      <c r="R259" s="1139"/>
      <c r="S259" s="1139"/>
      <c r="T259" s="1139"/>
      <c r="U259" s="1134" t="e">
        <f t="shared" si="84"/>
        <v>#DIV/0!</v>
      </c>
      <c r="V259" s="91"/>
      <c r="W259" s="28"/>
      <c r="X259" s="28"/>
      <c r="Y259" s="1113" t="s">
        <v>1136</v>
      </c>
    </row>
    <row r="260" spans="1:16373" s="1" customFormat="1" ht="22.5" customHeight="1" thickTop="1" thickBot="1" x14ac:dyDescent="0.3">
      <c r="A260" s="564" t="s">
        <v>127</v>
      </c>
      <c r="B260" s="565" t="s">
        <v>134</v>
      </c>
      <c r="C260" s="565" t="s">
        <v>146</v>
      </c>
      <c r="D260" s="565" t="s">
        <v>129</v>
      </c>
      <c r="E260" s="565" t="s">
        <v>134</v>
      </c>
      <c r="F260" s="565"/>
      <c r="G260" s="565"/>
      <c r="H260" s="91"/>
      <c r="I260" s="91"/>
      <c r="J260" s="566" t="s">
        <v>1431</v>
      </c>
      <c r="K260" s="1138"/>
      <c r="L260" s="1138"/>
      <c r="M260" s="1138"/>
      <c r="N260" s="1138">
        <f t="shared" si="97"/>
        <v>0</v>
      </c>
      <c r="O260" s="1138"/>
      <c r="P260" s="1138"/>
      <c r="Q260" s="1138"/>
      <c r="R260" s="1138"/>
      <c r="S260" s="1138"/>
      <c r="T260" s="1138"/>
      <c r="U260" s="1133" t="e">
        <f t="shared" si="84"/>
        <v>#DIV/0!</v>
      </c>
      <c r="V260" s="565"/>
      <c r="W260" s="565"/>
      <c r="X260" s="565"/>
      <c r="Y260" s="1113" t="s">
        <v>1136</v>
      </c>
      <c r="Z260" s="1113"/>
      <c r="AA260" s="1113"/>
      <c r="AB260" s="1113"/>
      <c r="AC260" s="1113"/>
      <c r="AD260" s="1113"/>
      <c r="AE260" s="1113"/>
      <c r="AF260" s="1113"/>
      <c r="AG260" s="1113"/>
      <c r="AH260" s="1113"/>
      <c r="AI260" s="1113"/>
      <c r="AJ260" s="1113"/>
      <c r="AK260" s="1113"/>
      <c r="AL260" s="1113"/>
      <c r="AM260" s="1113"/>
      <c r="AN260" s="1157"/>
      <c r="AO260" s="1113"/>
      <c r="AP260" s="1113"/>
      <c r="AQ260" s="1113"/>
      <c r="AR260" s="1113"/>
      <c r="AS260" s="1113"/>
      <c r="AT260" s="1113"/>
      <c r="AU260" s="1113"/>
      <c r="AV260" s="1113"/>
      <c r="AW260" s="1113"/>
      <c r="AX260" s="1113"/>
      <c r="AY260" s="1113"/>
      <c r="AZ260" s="1113"/>
      <c r="BA260" s="1113"/>
      <c r="BB260" s="1113"/>
      <c r="BC260" s="1113"/>
      <c r="BD260" s="1113"/>
      <c r="BE260" s="1113"/>
      <c r="BF260" s="1113"/>
      <c r="BG260" s="1113"/>
      <c r="BH260" s="1157"/>
      <c r="BI260" s="1113"/>
      <c r="BJ260" s="1113"/>
      <c r="BK260" s="1113"/>
      <c r="BL260" s="1113"/>
      <c r="BM260" s="1113"/>
      <c r="BN260" s="1113"/>
      <c r="BO260" s="1113"/>
      <c r="BP260" s="1113"/>
      <c r="BQ260" s="1113"/>
      <c r="BR260" s="1113"/>
      <c r="BS260" s="1113"/>
      <c r="BT260" s="1113"/>
      <c r="BU260" s="1113"/>
      <c r="BV260" s="1113"/>
      <c r="BW260" s="1113"/>
      <c r="BX260" s="1113"/>
      <c r="BY260" s="1113"/>
      <c r="BZ260" s="1113"/>
      <c r="CA260" s="1113"/>
      <c r="CB260" s="1157"/>
      <c r="CC260" s="1113"/>
      <c r="CD260" s="1158"/>
      <c r="CE260" s="565"/>
      <c r="CF260" s="565"/>
      <c r="CG260" s="565"/>
      <c r="CH260" s="565"/>
      <c r="CI260" s="565"/>
      <c r="CJ260" s="565"/>
      <c r="CK260" s="565"/>
      <c r="CL260" s="565"/>
      <c r="CM260" s="565"/>
      <c r="CN260" s="565"/>
      <c r="CO260" s="565"/>
      <c r="CP260" s="565"/>
      <c r="CQ260" s="565"/>
      <c r="CR260" s="565"/>
      <c r="CS260" s="565"/>
      <c r="CT260" s="565"/>
      <c r="CU260" s="565"/>
      <c r="CV260" s="566"/>
      <c r="CW260" s="565"/>
      <c r="CX260" s="565"/>
      <c r="CY260" s="565"/>
      <c r="CZ260" s="565"/>
      <c r="DA260" s="565"/>
      <c r="DB260" s="565"/>
      <c r="DC260" s="565"/>
      <c r="DD260" s="565"/>
      <c r="DE260" s="565"/>
      <c r="DF260" s="565"/>
      <c r="DG260" s="565"/>
      <c r="DH260" s="565"/>
      <c r="DI260" s="565"/>
      <c r="DJ260" s="565"/>
      <c r="DK260" s="565"/>
      <c r="DL260" s="565"/>
      <c r="DM260" s="565"/>
      <c r="DN260" s="565"/>
      <c r="DO260" s="565"/>
      <c r="DP260" s="566"/>
      <c r="DQ260" s="565"/>
      <c r="DR260" s="565"/>
      <c r="DS260" s="565"/>
      <c r="DT260" s="565"/>
      <c r="DU260" s="565"/>
      <c r="DV260" s="565"/>
      <c r="DW260" s="565"/>
      <c r="DX260" s="565"/>
      <c r="DY260" s="565"/>
      <c r="DZ260" s="565"/>
      <c r="EA260" s="565"/>
      <c r="EB260" s="565"/>
      <c r="EC260" s="565"/>
      <c r="ED260" s="565"/>
      <c r="EE260" s="565"/>
      <c r="EF260" s="565"/>
      <c r="EG260" s="565"/>
      <c r="EH260" s="565"/>
      <c r="EI260" s="565"/>
      <c r="EJ260" s="566"/>
      <c r="EK260" s="565"/>
      <c r="EL260" s="565"/>
      <c r="EM260" s="565"/>
      <c r="EN260" s="565"/>
      <c r="EO260" s="565"/>
      <c r="EP260" s="565"/>
      <c r="EQ260" s="565"/>
      <c r="ER260" s="565"/>
      <c r="ES260" s="565"/>
      <c r="ET260" s="565"/>
      <c r="EU260" s="565"/>
      <c r="EV260" s="565"/>
      <c r="EW260" s="565"/>
      <c r="EX260" s="565"/>
      <c r="EY260" s="565"/>
      <c r="EZ260" s="565"/>
      <c r="FA260" s="565"/>
      <c r="FB260" s="565"/>
      <c r="FC260" s="565"/>
      <c r="FD260" s="566"/>
      <c r="FE260" s="565"/>
      <c r="FF260" s="565"/>
      <c r="FG260" s="565"/>
      <c r="FH260" s="565"/>
      <c r="FI260" s="565"/>
      <c r="FJ260" s="565"/>
      <c r="FK260" s="565"/>
      <c r="FL260" s="565"/>
      <c r="FM260" s="565"/>
      <c r="FN260" s="565"/>
      <c r="FO260" s="565"/>
      <c r="FP260" s="565"/>
      <c r="FQ260" s="565"/>
      <c r="FR260" s="565"/>
      <c r="FS260" s="565"/>
      <c r="FT260" s="565"/>
      <c r="FU260" s="565"/>
      <c r="FV260" s="565"/>
      <c r="FW260" s="565"/>
      <c r="FX260" s="566"/>
      <c r="FY260" s="565"/>
      <c r="FZ260" s="565"/>
      <c r="GA260" s="565"/>
      <c r="GB260" s="565"/>
      <c r="GC260" s="565"/>
      <c r="GD260" s="565"/>
      <c r="GE260" s="565"/>
      <c r="GF260" s="565"/>
      <c r="GG260" s="565"/>
      <c r="GH260" s="565"/>
      <c r="GI260" s="565"/>
      <c r="GJ260" s="565"/>
      <c r="GK260" s="565"/>
      <c r="GL260" s="565"/>
      <c r="GM260" s="565"/>
      <c r="GN260" s="565"/>
      <c r="GO260" s="565"/>
      <c r="GP260" s="565"/>
      <c r="GQ260" s="565"/>
      <c r="GR260" s="566"/>
      <c r="GS260" s="565"/>
      <c r="GT260" s="565"/>
      <c r="GU260" s="565"/>
      <c r="GV260" s="565"/>
      <c r="GW260" s="565"/>
      <c r="GX260" s="565"/>
      <c r="GY260" s="565"/>
      <c r="GZ260" s="565"/>
      <c r="HA260" s="565"/>
      <c r="HB260" s="565"/>
      <c r="HC260" s="565"/>
      <c r="HD260" s="565"/>
      <c r="HE260" s="565"/>
      <c r="HF260" s="565"/>
      <c r="HG260" s="565"/>
      <c r="HH260" s="565"/>
      <c r="HI260" s="565"/>
      <c r="HJ260" s="565"/>
      <c r="HK260" s="565"/>
      <c r="HL260" s="566"/>
      <c r="HM260" s="565"/>
      <c r="HN260" s="565"/>
      <c r="HO260" s="565"/>
      <c r="HP260" s="565"/>
      <c r="HQ260" s="565"/>
      <c r="HR260" s="565"/>
      <c r="HS260" s="565"/>
      <c r="HT260" s="565"/>
      <c r="HU260" s="565"/>
      <c r="HV260" s="565"/>
      <c r="HW260" s="565"/>
      <c r="HX260" s="565"/>
      <c r="HY260" s="565"/>
      <c r="HZ260" s="565"/>
      <c r="IA260" s="565"/>
      <c r="IB260" s="565"/>
      <c r="IC260" s="565"/>
      <c r="ID260" s="565"/>
      <c r="IE260" s="565"/>
      <c r="IF260" s="566"/>
      <c r="IG260" s="565"/>
      <c r="IH260" s="565"/>
      <c r="II260" s="565"/>
      <c r="IJ260" s="565"/>
      <c r="IK260" s="565"/>
      <c r="IL260" s="565"/>
      <c r="IM260" s="565"/>
      <c r="IN260" s="565"/>
      <c r="IO260" s="565"/>
      <c r="IP260" s="565"/>
      <c r="IQ260" s="565"/>
      <c r="IR260" s="565"/>
      <c r="IS260" s="565"/>
      <c r="IT260" s="565"/>
      <c r="IU260" s="565"/>
      <c r="IV260" s="565"/>
      <c r="IW260" s="565"/>
      <c r="IX260" s="565"/>
      <c r="IY260" s="565"/>
      <c r="IZ260" s="566"/>
      <c r="JA260" s="565"/>
      <c r="JB260" s="565"/>
      <c r="JC260" s="565"/>
      <c r="JD260" s="565"/>
      <c r="JE260" s="565"/>
      <c r="JF260" s="565"/>
      <c r="JG260" s="565"/>
      <c r="JH260" s="565"/>
      <c r="JI260" s="565"/>
      <c r="JJ260" s="565"/>
      <c r="JK260" s="565"/>
      <c r="JL260" s="565"/>
      <c r="JM260" s="565"/>
      <c r="JN260" s="565"/>
      <c r="JO260" s="565"/>
      <c r="JP260" s="565"/>
      <c r="JQ260" s="565"/>
      <c r="JR260" s="565"/>
      <c r="JS260" s="565"/>
      <c r="JT260" s="566"/>
      <c r="JU260" s="565"/>
      <c r="JV260" s="565"/>
      <c r="JW260" s="565"/>
      <c r="JX260" s="565"/>
      <c r="JY260" s="565"/>
      <c r="JZ260" s="565"/>
      <c r="KA260" s="565"/>
      <c r="KB260" s="565"/>
      <c r="KC260" s="565"/>
      <c r="KD260" s="565"/>
      <c r="KE260" s="565"/>
      <c r="KF260" s="565"/>
      <c r="KG260" s="565"/>
      <c r="KH260" s="565"/>
      <c r="KI260" s="565"/>
      <c r="KJ260" s="565"/>
      <c r="KK260" s="565"/>
      <c r="KL260" s="565"/>
      <c r="KM260" s="565"/>
      <c r="KN260" s="566"/>
      <c r="KO260" s="565"/>
      <c r="KP260" s="565"/>
      <c r="KQ260" s="565"/>
      <c r="KR260" s="565"/>
      <c r="KS260" s="565"/>
      <c r="KT260" s="565"/>
      <c r="KU260" s="565"/>
      <c r="KV260" s="565"/>
      <c r="KW260" s="565"/>
      <c r="KX260" s="565"/>
      <c r="KY260" s="565"/>
      <c r="KZ260" s="565"/>
      <c r="LA260" s="565"/>
      <c r="LB260" s="565"/>
      <c r="LC260" s="565"/>
      <c r="LD260" s="565"/>
      <c r="LE260" s="565"/>
      <c r="LF260" s="565"/>
      <c r="LG260" s="565"/>
      <c r="LH260" s="566"/>
      <c r="LI260" s="565"/>
      <c r="LJ260" s="565"/>
      <c r="LK260" s="565"/>
      <c r="LL260" s="565"/>
      <c r="LM260" s="565"/>
      <c r="LN260" s="565"/>
      <c r="LO260" s="565"/>
      <c r="LP260" s="565"/>
      <c r="LQ260" s="565"/>
      <c r="LR260" s="565"/>
      <c r="LS260" s="565"/>
      <c r="LT260" s="565"/>
      <c r="LU260" s="565"/>
      <c r="LV260" s="565"/>
      <c r="LW260" s="565"/>
      <c r="LX260" s="565"/>
      <c r="LY260" s="565"/>
      <c r="LZ260" s="565"/>
      <c r="MA260" s="565"/>
      <c r="MB260" s="566"/>
      <c r="MC260" s="565"/>
      <c r="MD260" s="565"/>
      <c r="ME260" s="565"/>
      <c r="MF260" s="565"/>
      <c r="MG260" s="565"/>
      <c r="MH260" s="565"/>
      <c r="MI260" s="565"/>
      <c r="MJ260" s="565"/>
      <c r="MK260" s="565"/>
      <c r="ML260" s="565"/>
      <c r="MM260" s="565"/>
      <c r="MN260" s="565"/>
      <c r="MO260" s="565"/>
      <c r="MP260" s="565"/>
      <c r="MQ260" s="565"/>
      <c r="MR260" s="565"/>
      <c r="MS260" s="565"/>
      <c r="MT260" s="565"/>
      <c r="MU260" s="565"/>
      <c r="MV260" s="566"/>
      <c r="MW260" s="565"/>
      <c r="MX260" s="565"/>
      <c r="MY260" s="565"/>
      <c r="MZ260" s="565"/>
      <c r="NA260" s="565"/>
      <c r="NB260" s="565"/>
      <c r="NC260" s="565"/>
      <c r="ND260" s="565"/>
      <c r="NE260" s="565"/>
      <c r="NF260" s="565"/>
      <c r="NG260" s="565"/>
      <c r="NH260" s="565"/>
      <c r="NI260" s="565"/>
      <c r="NJ260" s="565"/>
      <c r="NK260" s="565"/>
      <c r="NL260" s="565"/>
      <c r="NM260" s="565"/>
      <c r="NN260" s="565"/>
      <c r="NO260" s="565"/>
      <c r="NP260" s="566"/>
      <c r="NQ260" s="565"/>
      <c r="NR260" s="565"/>
      <c r="NS260" s="565"/>
      <c r="NT260" s="565"/>
      <c r="NU260" s="565"/>
      <c r="NV260" s="565"/>
      <c r="NW260" s="565"/>
      <c r="NX260" s="565"/>
      <c r="NY260" s="565"/>
      <c r="NZ260" s="565"/>
      <c r="OA260" s="565"/>
      <c r="OB260" s="565"/>
      <c r="OC260" s="565"/>
      <c r="OD260" s="565"/>
      <c r="OE260" s="565"/>
      <c r="OF260" s="565"/>
      <c r="OG260" s="565"/>
      <c r="OH260" s="565"/>
      <c r="OI260" s="565"/>
      <c r="OJ260" s="566"/>
      <c r="OK260" s="565"/>
      <c r="OL260" s="565"/>
      <c r="OM260" s="565"/>
      <c r="ON260" s="565"/>
      <c r="OO260" s="565"/>
      <c r="OP260" s="565"/>
      <c r="OQ260" s="565"/>
      <c r="OR260" s="565"/>
      <c r="OS260" s="565"/>
      <c r="OT260" s="565"/>
      <c r="OU260" s="565"/>
      <c r="OV260" s="565"/>
      <c r="OW260" s="565"/>
      <c r="OX260" s="565"/>
      <c r="OY260" s="565"/>
      <c r="OZ260" s="565"/>
      <c r="PA260" s="565"/>
      <c r="PB260" s="565"/>
      <c r="PC260" s="565"/>
      <c r="PD260" s="566"/>
      <c r="PE260" s="565"/>
      <c r="PF260" s="565"/>
      <c r="PG260" s="565"/>
      <c r="PH260" s="565"/>
      <c r="PI260" s="565"/>
      <c r="PJ260" s="565"/>
      <c r="PK260" s="565"/>
      <c r="PL260" s="565"/>
      <c r="PM260" s="565"/>
      <c r="PN260" s="565"/>
      <c r="PO260" s="565"/>
      <c r="PP260" s="565"/>
      <c r="PQ260" s="565"/>
      <c r="PR260" s="565"/>
      <c r="PS260" s="565"/>
      <c r="PT260" s="565"/>
      <c r="PU260" s="565"/>
      <c r="PV260" s="565"/>
      <c r="PW260" s="565"/>
      <c r="PX260" s="566"/>
      <c r="PY260" s="565"/>
      <c r="PZ260" s="565"/>
      <c r="QA260" s="565"/>
      <c r="QB260" s="565"/>
      <c r="QC260" s="565"/>
      <c r="QD260" s="565"/>
      <c r="QE260" s="565"/>
      <c r="QF260" s="565"/>
      <c r="QG260" s="565"/>
      <c r="QH260" s="565"/>
      <c r="QI260" s="565"/>
      <c r="QJ260" s="565"/>
      <c r="QK260" s="565"/>
      <c r="QL260" s="565"/>
      <c r="QM260" s="565"/>
      <c r="QN260" s="565"/>
      <c r="QO260" s="565"/>
      <c r="QP260" s="565"/>
      <c r="QQ260" s="565"/>
      <c r="QR260" s="566"/>
      <c r="QS260" s="565"/>
      <c r="QT260" s="565"/>
      <c r="QU260" s="565"/>
      <c r="QV260" s="565"/>
      <c r="QW260" s="565"/>
      <c r="QX260" s="565"/>
      <c r="QY260" s="565"/>
      <c r="QZ260" s="565"/>
      <c r="RA260" s="565"/>
      <c r="RB260" s="565"/>
      <c r="RC260" s="565"/>
      <c r="RD260" s="565"/>
      <c r="RE260" s="565"/>
      <c r="RF260" s="565"/>
      <c r="RG260" s="565"/>
      <c r="RH260" s="565"/>
      <c r="RI260" s="565"/>
      <c r="RJ260" s="565"/>
      <c r="RK260" s="565"/>
      <c r="RL260" s="566"/>
      <c r="RM260" s="565"/>
      <c r="RN260" s="565"/>
      <c r="RO260" s="565"/>
      <c r="RP260" s="565"/>
      <c r="RQ260" s="565"/>
      <c r="RR260" s="565"/>
      <c r="RS260" s="565"/>
      <c r="RT260" s="565"/>
      <c r="RU260" s="565"/>
      <c r="RV260" s="565"/>
      <c r="RW260" s="565"/>
      <c r="RX260" s="565"/>
      <c r="RY260" s="565"/>
      <c r="RZ260" s="565"/>
      <c r="SA260" s="565"/>
      <c r="SB260" s="565"/>
      <c r="SC260" s="565"/>
      <c r="SD260" s="565"/>
      <c r="SE260" s="565"/>
      <c r="SF260" s="566"/>
      <c r="SG260" s="565"/>
      <c r="SH260" s="565"/>
      <c r="SI260" s="565"/>
      <c r="SJ260" s="565"/>
      <c r="SK260" s="565"/>
      <c r="SL260" s="565"/>
      <c r="SM260" s="565"/>
      <c r="SN260" s="565"/>
      <c r="SO260" s="565"/>
      <c r="SP260" s="565"/>
      <c r="SQ260" s="565"/>
      <c r="SR260" s="565"/>
      <c r="SS260" s="565"/>
      <c r="ST260" s="565"/>
      <c r="SU260" s="565"/>
      <c r="SV260" s="565"/>
      <c r="SW260" s="565"/>
      <c r="SX260" s="565"/>
      <c r="SY260" s="565"/>
      <c r="SZ260" s="566"/>
      <c r="TA260" s="565"/>
      <c r="TB260" s="565"/>
      <c r="TC260" s="565"/>
      <c r="TD260" s="565"/>
      <c r="TE260" s="565"/>
      <c r="TF260" s="565"/>
      <c r="TG260" s="565"/>
      <c r="TH260" s="565"/>
      <c r="TI260" s="565"/>
      <c r="TJ260" s="565"/>
      <c r="TK260" s="565"/>
      <c r="TL260" s="565"/>
      <c r="TM260" s="565"/>
      <c r="TN260" s="565"/>
      <c r="TO260" s="565"/>
      <c r="TP260" s="565"/>
      <c r="TQ260" s="565"/>
      <c r="TR260" s="565"/>
      <c r="TS260" s="565"/>
      <c r="TT260" s="566"/>
      <c r="TU260" s="565"/>
      <c r="TV260" s="565"/>
      <c r="TW260" s="565"/>
      <c r="TX260" s="565"/>
      <c r="TY260" s="565"/>
      <c r="TZ260" s="565"/>
      <c r="UA260" s="565"/>
      <c r="UB260" s="565"/>
      <c r="UC260" s="565"/>
      <c r="UD260" s="565"/>
      <c r="UE260" s="565"/>
      <c r="UF260" s="565"/>
      <c r="UG260" s="565"/>
      <c r="UH260" s="565"/>
      <c r="UI260" s="565"/>
      <c r="UJ260" s="565"/>
      <c r="UK260" s="565"/>
      <c r="UL260" s="565"/>
      <c r="UM260" s="565"/>
      <c r="UN260" s="566"/>
      <c r="UO260" s="565"/>
      <c r="UP260" s="565"/>
      <c r="UQ260" s="565"/>
      <c r="UR260" s="565"/>
      <c r="US260" s="565"/>
      <c r="UT260" s="565"/>
      <c r="UU260" s="565"/>
      <c r="UV260" s="565"/>
      <c r="UW260" s="565"/>
      <c r="UX260" s="565"/>
      <c r="UY260" s="565"/>
      <c r="UZ260" s="565"/>
      <c r="VA260" s="565"/>
      <c r="VB260" s="565"/>
      <c r="VC260" s="565"/>
      <c r="VD260" s="565"/>
      <c r="VE260" s="565"/>
      <c r="VF260" s="565"/>
      <c r="VG260" s="565"/>
      <c r="VH260" s="566"/>
      <c r="VI260" s="565"/>
      <c r="VJ260" s="565"/>
      <c r="VK260" s="565"/>
      <c r="VL260" s="565"/>
      <c r="VM260" s="565"/>
      <c r="VN260" s="565"/>
      <c r="VO260" s="565"/>
      <c r="VP260" s="565"/>
      <c r="VQ260" s="565"/>
      <c r="VR260" s="565"/>
      <c r="VS260" s="565"/>
      <c r="VT260" s="565"/>
      <c r="VU260" s="565"/>
      <c r="VV260" s="565"/>
      <c r="VW260" s="565"/>
      <c r="VX260" s="565"/>
      <c r="VY260" s="565"/>
      <c r="VZ260" s="565"/>
      <c r="WA260" s="565"/>
      <c r="WB260" s="566"/>
      <c r="WC260" s="565"/>
      <c r="WD260" s="565"/>
      <c r="WE260" s="565"/>
      <c r="WF260" s="565"/>
      <c r="WG260" s="565"/>
      <c r="WH260" s="565"/>
      <c r="WI260" s="565"/>
      <c r="WJ260" s="565"/>
      <c r="WK260" s="565"/>
      <c r="WL260" s="565"/>
      <c r="WM260" s="565"/>
      <c r="WN260" s="565"/>
      <c r="WO260" s="565"/>
      <c r="WP260" s="565"/>
      <c r="WQ260" s="565"/>
      <c r="WR260" s="565"/>
      <c r="WS260" s="565"/>
      <c r="WT260" s="565"/>
      <c r="WU260" s="565"/>
      <c r="WV260" s="566"/>
      <c r="WW260" s="565"/>
      <c r="WX260" s="565"/>
      <c r="WY260" s="565"/>
      <c r="WZ260" s="565"/>
      <c r="XA260" s="565"/>
      <c r="XB260" s="565"/>
      <c r="XC260" s="565"/>
      <c r="XD260" s="565"/>
      <c r="XE260" s="565"/>
      <c r="XF260" s="565"/>
      <c r="XG260" s="565"/>
      <c r="XH260" s="565"/>
      <c r="XI260" s="565"/>
      <c r="XJ260" s="565"/>
      <c r="XK260" s="565"/>
      <c r="XL260" s="565"/>
      <c r="XM260" s="565"/>
      <c r="XN260" s="565"/>
      <c r="XO260" s="565"/>
      <c r="XP260" s="566"/>
      <c r="XQ260" s="565"/>
      <c r="XR260" s="565"/>
      <c r="XS260" s="565"/>
      <c r="XT260" s="565"/>
      <c r="XU260" s="565"/>
      <c r="XV260" s="565"/>
      <c r="XW260" s="565"/>
      <c r="XX260" s="565"/>
      <c r="XY260" s="565"/>
      <c r="XZ260" s="565"/>
      <c r="YA260" s="565"/>
      <c r="YB260" s="565"/>
      <c r="YC260" s="565"/>
      <c r="YD260" s="565"/>
      <c r="YE260" s="565"/>
      <c r="YF260" s="565"/>
      <c r="YG260" s="565"/>
      <c r="YH260" s="565"/>
      <c r="YI260" s="565"/>
      <c r="YJ260" s="566"/>
      <c r="YK260" s="565"/>
      <c r="YL260" s="565"/>
      <c r="YM260" s="565"/>
      <c r="YN260" s="565"/>
      <c r="YO260" s="565"/>
      <c r="YP260" s="565"/>
      <c r="YQ260" s="565"/>
      <c r="YR260" s="565"/>
      <c r="YS260" s="565"/>
      <c r="YT260" s="565"/>
      <c r="YU260" s="565"/>
      <c r="YV260" s="565"/>
      <c r="YW260" s="565"/>
      <c r="YX260" s="565"/>
      <c r="YY260" s="565"/>
      <c r="YZ260" s="565"/>
      <c r="ZA260" s="565"/>
      <c r="ZB260" s="565"/>
      <c r="ZC260" s="565"/>
      <c r="ZD260" s="566"/>
      <c r="ZE260" s="565"/>
      <c r="ZF260" s="565"/>
      <c r="ZG260" s="565"/>
      <c r="ZH260" s="565"/>
      <c r="ZI260" s="565"/>
      <c r="ZJ260" s="565"/>
      <c r="ZK260" s="565"/>
      <c r="ZL260" s="565"/>
      <c r="ZM260" s="565"/>
      <c r="ZN260" s="565"/>
      <c r="ZO260" s="565"/>
      <c r="ZP260" s="565"/>
      <c r="ZQ260" s="565"/>
      <c r="ZR260" s="565"/>
      <c r="ZS260" s="565"/>
      <c r="ZT260" s="565"/>
      <c r="ZU260" s="565"/>
      <c r="ZV260" s="565"/>
      <c r="ZW260" s="565"/>
      <c r="ZX260" s="566"/>
      <c r="ZY260" s="565"/>
      <c r="ZZ260" s="565"/>
      <c r="AAA260" s="565"/>
      <c r="AAB260" s="565"/>
      <c r="AAC260" s="565"/>
      <c r="AAD260" s="565"/>
      <c r="AAE260" s="565"/>
      <c r="AAF260" s="565"/>
      <c r="AAG260" s="565"/>
      <c r="AAH260" s="565"/>
      <c r="AAI260" s="565"/>
      <c r="AAJ260" s="565"/>
      <c r="AAK260" s="565"/>
      <c r="AAL260" s="565"/>
      <c r="AAM260" s="565"/>
      <c r="AAN260" s="565"/>
      <c r="AAO260" s="565"/>
      <c r="AAP260" s="565"/>
      <c r="AAQ260" s="565"/>
      <c r="AAR260" s="566"/>
      <c r="AAS260" s="565"/>
      <c r="AAT260" s="565"/>
      <c r="AAU260" s="565"/>
      <c r="AAV260" s="565"/>
      <c r="AAW260" s="565"/>
      <c r="AAX260" s="565"/>
      <c r="AAY260" s="565"/>
      <c r="AAZ260" s="565"/>
      <c r="ABA260" s="565"/>
      <c r="ABB260" s="565"/>
      <c r="ABC260" s="565"/>
      <c r="ABD260" s="565"/>
      <c r="ABE260" s="565"/>
      <c r="ABF260" s="565"/>
      <c r="ABG260" s="565"/>
      <c r="ABH260" s="565"/>
      <c r="ABI260" s="565"/>
      <c r="ABJ260" s="565"/>
      <c r="ABK260" s="565"/>
      <c r="ABL260" s="566"/>
      <c r="ABM260" s="565"/>
      <c r="ABN260" s="565"/>
      <c r="ABO260" s="565"/>
      <c r="ABP260" s="565"/>
      <c r="ABQ260" s="565"/>
      <c r="ABR260" s="565"/>
      <c r="ABS260" s="565"/>
      <c r="ABT260" s="565"/>
      <c r="ABU260" s="565"/>
      <c r="ABV260" s="565"/>
      <c r="ABW260" s="565"/>
      <c r="ABX260" s="565"/>
      <c r="ABY260" s="565"/>
      <c r="ABZ260" s="565"/>
      <c r="ACA260" s="565"/>
      <c r="ACB260" s="565"/>
      <c r="ACC260" s="565"/>
      <c r="ACD260" s="565"/>
      <c r="ACE260" s="565"/>
      <c r="ACF260" s="566"/>
      <c r="ACG260" s="565"/>
      <c r="ACH260" s="565"/>
      <c r="ACI260" s="565"/>
      <c r="ACJ260" s="565"/>
      <c r="ACK260" s="565"/>
      <c r="ACL260" s="565"/>
      <c r="ACM260" s="565"/>
      <c r="ACN260" s="565"/>
      <c r="ACO260" s="565"/>
      <c r="ACP260" s="565"/>
      <c r="ACQ260" s="565"/>
      <c r="ACR260" s="565"/>
      <c r="ACS260" s="565"/>
      <c r="ACT260" s="565"/>
      <c r="ACU260" s="565"/>
      <c r="ACV260" s="565"/>
      <c r="ACW260" s="565"/>
      <c r="ACX260" s="565"/>
      <c r="ACY260" s="565"/>
      <c r="ACZ260" s="566"/>
      <c r="ADA260" s="565"/>
      <c r="ADB260" s="565"/>
      <c r="ADC260" s="565"/>
      <c r="ADD260" s="565"/>
      <c r="ADE260" s="565"/>
      <c r="ADF260" s="565"/>
      <c r="ADG260" s="565"/>
      <c r="ADH260" s="565"/>
      <c r="ADI260" s="565"/>
      <c r="ADJ260" s="565"/>
      <c r="ADK260" s="565"/>
      <c r="ADL260" s="565"/>
      <c r="ADM260" s="565"/>
      <c r="ADN260" s="565"/>
      <c r="ADO260" s="565"/>
      <c r="ADP260" s="565"/>
      <c r="ADQ260" s="565"/>
      <c r="ADR260" s="565"/>
      <c r="ADS260" s="565"/>
      <c r="ADT260" s="566"/>
      <c r="ADU260" s="565"/>
      <c r="ADV260" s="565"/>
      <c r="ADW260" s="565"/>
      <c r="ADX260" s="565"/>
      <c r="ADY260" s="565"/>
      <c r="ADZ260" s="565"/>
      <c r="AEA260" s="565"/>
      <c r="AEB260" s="565"/>
      <c r="AEC260" s="565"/>
      <c r="AED260" s="565"/>
      <c r="AEE260" s="565"/>
      <c r="AEF260" s="565"/>
      <c r="AEG260" s="565"/>
      <c r="AEH260" s="565"/>
      <c r="AEI260" s="565"/>
      <c r="AEJ260" s="565"/>
      <c r="AEK260" s="565"/>
      <c r="AEL260" s="565"/>
      <c r="AEM260" s="565"/>
      <c r="AEN260" s="566"/>
      <c r="AEO260" s="565"/>
      <c r="AEP260" s="565"/>
      <c r="AEQ260" s="565"/>
      <c r="AER260" s="565"/>
      <c r="AES260" s="565"/>
      <c r="AET260" s="565"/>
      <c r="AEU260" s="565"/>
      <c r="AEV260" s="565"/>
      <c r="AEW260" s="565"/>
      <c r="AEX260" s="565"/>
      <c r="AEY260" s="565"/>
      <c r="AEZ260" s="565"/>
      <c r="AFA260" s="565"/>
      <c r="AFB260" s="565"/>
      <c r="AFC260" s="565"/>
      <c r="AFD260" s="565"/>
      <c r="AFE260" s="565"/>
      <c r="AFF260" s="565"/>
      <c r="AFG260" s="565"/>
      <c r="AFH260" s="566"/>
      <c r="AFI260" s="565"/>
      <c r="AFJ260" s="565"/>
      <c r="AFK260" s="565"/>
      <c r="AFL260" s="565"/>
      <c r="AFM260" s="565"/>
      <c r="AFN260" s="565"/>
      <c r="AFO260" s="565"/>
      <c r="AFP260" s="565"/>
      <c r="AFQ260" s="565"/>
      <c r="AFR260" s="565"/>
      <c r="AFS260" s="565"/>
      <c r="AFT260" s="565"/>
      <c r="AFU260" s="565"/>
      <c r="AFV260" s="565"/>
      <c r="AFW260" s="565"/>
      <c r="AFX260" s="565"/>
      <c r="AFY260" s="565"/>
      <c r="AFZ260" s="565"/>
      <c r="AGA260" s="565"/>
      <c r="AGB260" s="566"/>
      <c r="AGC260" s="565"/>
      <c r="AGD260" s="565"/>
      <c r="AGE260" s="565"/>
      <c r="AGF260" s="565"/>
      <c r="AGG260" s="565"/>
      <c r="AGH260" s="565"/>
      <c r="AGI260" s="565"/>
      <c r="AGJ260" s="565"/>
      <c r="AGK260" s="565"/>
      <c r="AGL260" s="565"/>
      <c r="AGM260" s="565"/>
      <c r="AGN260" s="565"/>
      <c r="AGO260" s="565"/>
      <c r="AGP260" s="565"/>
      <c r="AGQ260" s="565"/>
      <c r="AGR260" s="565"/>
      <c r="AGS260" s="565"/>
      <c r="AGT260" s="565"/>
      <c r="AGU260" s="565"/>
      <c r="AGV260" s="566"/>
      <c r="AGW260" s="565"/>
      <c r="AGX260" s="565"/>
      <c r="AGY260" s="565"/>
      <c r="AGZ260" s="565"/>
      <c r="AHA260" s="565"/>
      <c r="AHB260" s="565"/>
      <c r="AHC260" s="565"/>
      <c r="AHD260" s="565"/>
      <c r="AHE260" s="565"/>
      <c r="AHF260" s="565"/>
      <c r="AHG260" s="565"/>
      <c r="AHH260" s="565"/>
      <c r="AHI260" s="565"/>
      <c r="AHJ260" s="565"/>
      <c r="AHK260" s="565"/>
      <c r="AHL260" s="565"/>
      <c r="AHM260" s="565"/>
      <c r="AHN260" s="565"/>
      <c r="AHO260" s="565"/>
      <c r="AHP260" s="566"/>
      <c r="AHQ260" s="565"/>
      <c r="AHR260" s="565"/>
      <c r="AHS260" s="565"/>
      <c r="AHT260" s="565"/>
      <c r="AHU260" s="565"/>
      <c r="AHV260" s="565"/>
      <c r="AHW260" s="565"/>
      <c r="AHX260" s="565"/>
      <c r="AHY260" s="565"/>
      <c r="AHZ260" s="565"/>
      <c r="AIA260" s="565"/>
      <c r="AIB260" s="565"/>
      <c r="AIC260" s="565"/>
      <c r="AID260" s="565"/>
      <c r="AIE260" s="565"/>
      <c r="AIF260" s="565"/>
      <c r="AIG260" s="565"/>
      <c r="AIH260" s="565"/>
      <c r="AII260" s="565"/>
      <c r="AIJ260" s="566"/>
      <c r="AIK260" s="565"/>
      <c r="AIL260" s="565"/>
      <c r="AIM260" s="565"/>
      <c r="AIN260" s="565"/>
      <c r="AIO260" s="565"/>
      <c r="AIP260" s="565"/>
      <c r="AIQ260" s="565"/>
      <c r="AIR260" s="565"/>
      <c r="AIS260" s="565"/>
      <c r="AIT260" s="565"/>
      <c r="AIU260" s="565"/>
      <c r="AIV260" s="565"/>
      <c r="AIW260" s="565"/>
      <c r="AIX260" s="565"/>
      <c r="AIY260" s="565"/>
      <c r="AIZ260" s="565"/>
      <c r="AJA260" s="565"/>
      <c r="AJB260" s="565"/>
      <c r="AJC260" s="565"/>
      <c r="AJD260" s="566"/>
      <c r="AJE260" s="565"/>
      <c r="AJF260" s="565"/>
      <c r="AJG260" s="565"/>
      <c r="AJH260" s="565"/>
      <c r="AJI260" s="565"/>
      <c r="AJJ260" s="565"/>
      <c r="AJK260" s="565"/>
      <c r="AJL260" s="565"/>
      <c r="AJM260" s="565"/>
      <c r="AJN260" s="565"/>
      <c r="AJO260" s="565"/>
      <c r="AJP260" s="565"/>
      <c r="AJQ260" s="565"/>
      <c r="AJR260" s="565"/>
      <c r="AJS260" s="565"/>
      <c r="AJT260" s="565"/>
      <c r="AJU260" s="565"/>
      <c r="AJV260" s="565"/>
      <c r="AJW260" s="565"/>
      <c r="AJX260" s="566"/>
      <c r="AJY260" s="565"/>
      <c r="AJZ260" s="565"/>
      <c r="AKA260" s="565"/>
      <c r="AKB260" s="565"/>
      <c r="AKC260" s="565"/>
      <c r="AKD260" s="565"/>
      <c r="AKE260" s="565"/>
      <c r="AKF260" s="565"/>
      <c r="AKG260" s="565"/>
      <c r="AKH260" s="565"/>
      <c r="AKI260" s="565"/>
      <c r="AKJ260" s="565"/>
      <c r="AKK260" s="565"/>
      <c r="AKL260" s="565"/>
      <c r="AKM260" s="565"/>
      <c r="AKN260" s="565"/>
      <c r="AKO260" s="565"/>
      <c r="AKP260" s="565"/>
      <c r="AKQ260" s="565"/>
      <c r="AKR260" s="566"/>
      <c r="AKS260" s="565"/>
      <c r="AKT260" s="565"/>
      <c r="AKU260" s="565"/>
      <c r="AKV260" s="565"/>
      <c r="AKW260" s="565"/>
      <c r="AKX260" s="565"/>
      <c r="AKY260" s="565"/>
      <c r="AKZ260" s="565"/>
      <c r="ALA260" s="565"/>
      <c r="ALB260" s="565"/>
      <c r="ALC260" s="565"/>
      <c r="ALD260" s="565"/>
      <c r="ALE260" s="565"/>
      <c r="ALF260" s="565"/>
      <c r="ALG260" s="565"/>
      <c r="ALH260" s="565"/>
      <c r="ALI260" s="565"/>
      <c r="ALJ260" s="565"/>
      <c r="ALK260" s="565"/>
      <c r="ALL260" s="566"/>
      <c r="ALM260" s="565"/>
      <c r="ALN260" s="565"/>
      <c r="ALO260" s="565"/>
      <c r="ALP260" s="565"/>
      <c r="ALQ260" s="565"/>
      <c r="ALR260" s="565"/>
      <c r="ALS260" s="565"/>
      <c r="ALT260" s="565"/>
      <c r="ALU260" s="565"/>
      <c r="ALV260" s="565"/>
      <c r="ALW260" s="565"/>
      <c r="ALX260" s="565"/>
      <c r="ALY260" s="565"/>
      <c r="ALZ260" s="565"/>
      <c r="AMA260" s="565"/>
      <c r="AMB260" s="565"/>
      <c r="AMC260" s="565"/>
      <c r="AMD260" s="565"/>
      <c r="AME260" s="565"/>
      <c r="AMF260" s="566"/>
      <c r="AMG260" s="565"/>
      <c r="AMH260" s="565"/>
      <c r="AMI260" s="565"/>
      <c r="AMJ260" s="565"/>
      <c r="AMK260" s="565"/>
      <c r="AML260" s="565"/>
      <c r="AMM260" s="565"/>
      <c r="AMN260" s="565"/>
      <c r="AMO260" s="565"/>
      <c r="AMP260" s="565"/>
      <c r="AMQ260" s="565"/>
      <c r="AMR260" s="565"/>
      <c r="AMS260" s="565"/>
      <c r="AMT260" s="565"/>
      <c r="AMU260" s="565"/>
      <c r="AMV260" s="565"/>
      <c r="AMW260" s="565"/>
      <c r="AMX260" s="565"/>
      <c r="AMY260" s="565"/>
      <c r="AMZ260" s="566"/>
      <c r="ANA260" s="565"/>
      <c r="ANB260" s="565"/>
      <c r="ANC260" s="565"/>
      <c r="AND260" s="565"/>
      <c r="ANE260" s="565"/>
      <c r="ANF260" s="565"/>
      <c r="ANG260" s="565"/>
      <c r="ANH260" s="565"/>
      <c r="ANI260" s="565"/>
      <c r="ANJ260" s="565"/>
      <c r="ANK260" s="565"/>
      <c r="ANL260" s="565"/>
      <c r="ANM260" s="565"/>
      <c r="ANN260" s="565"/>
      <c r="ANO260" s="565"/>
      <c r="ANP260" s="565"/>
      <c r="ANQ260" s="565"/>
      <c r="ANR260" s="565"/>
      <c r="ANS260" s="565"/>
      <c r="ANT260" s="566"/>
      <c r="ANU260" s="565"/>
      <c r="ANV260" s="565"/>
      <c r="ANW260" s="565"/>
      <c r="ANX260" s="565"/>
      <c r="ANY260" s="565"/>
      <c r="ANZ260" s="565"/>
      <c r="AOA260" s="565"/>
      <c r="AOB260" s="565"/>
      <c r="AOC260" s="565"/>
      <c r="AOD260" s="565"/>
      <c r="AOE260" s="565"/>
      <c r="AOF260" s="565"/>
      <c r="AOG260" s="565"/>
      <c r="AOH260" s="565"/>
      <c r="AOI260" s="565"/>
      <c r="AOJ260" s="565"/>
      <c r="AOK260" s="565"/>
      <c r="AOL260" s="565"/>
      <c r="AOM260" s="565"/>
      <c r="AON260" s="566"/>
      <c r="AOO260" s="565"/>
      <c r="AOP260" s="565"/>
      <c r="AOQ260" s="565"/>
      <c r="AOR260" s="565"/>
      <c r="AOS260" s="565"/>
      <c r="AOT260" s="565"/>
      <c r="AOU260" s="565"/>
      <c r="AOV260" s="565"/>
      <c r="AOW260" s="565"/>
      <c r="AOX260" s="565"/>
      <c r="AOY260" s="565"/>
      <c r="AOZ260" s="565"/>
      <c r="APA260" s="565"/>
      <c r="APB260" s="565"/>
      <c r="APC260" s="565"/>
      <c r="APD260" s="565"/>
      <c r="APE260" s="565"/>
      <c r="APF260" s="565"/>
      <c r="APG260" s="565"/>
      <c r="APH260" s="566"/>
      <c r="API260" s="565"/>
      <c r="APJ260" s="565"/>
      <c r="APK260" s="565"/>
      <c r="APL260" s="565"/>
      <c r="APM260" s="565"/>
      <c r="APN260" s="565"/>
      <c r="APO260" s="565"/>
      <c r="APP260" s="565"/>
      <c r="APQ260" s="565"/>
      <c r="APR260" s="565"/>
      <c r="APS260" s="565"/>
      <c r="APT260" s="565"/>
      <c r="APU260" s="565"/>
      <c r="APV260" s="565"/>
      <c r="APW260" s="565"/>
      <c r="APX260" s="565"/>
      <c r="APY260" s="565"/>
      <c r="APZ260" s="565"/>
      <c r="AQA260" s="565"/>
      <c r="AQB260" s="566"/>
      <c r="AQC260" s="565"/>
      <c r="AQD260" s="565"/>
      <c r="AQE260" s="565"/>
      <c r="AQF260" s="565"/>
      <c r="AQG260" s="565"/>
      <c r="AQH260" s="565"/>
      <c r="AQI260" s="565"/>
      <c r="AQJ260" s="565"/>
      <c r="AQK260" s="565"/>
      <c r="AQL260" s="565"/>
      <c r="AQM260" s="565"/>
      <c r="AQN260" s="565"/>
      <c r="AQO260" s="565"/>
      <c r="AQP260" s="565"/>
      <c r="AQQ260" s="565"/>
      <c r="AQR260" s="565"/>
      <c r="AQS260" s="565"/>
      <c r="AQT260" s="565"/>
      <c r="AQU260" s="565"/>
      <c r="AQV260" s="566"/>
      <c r="AQW260" s="565"/>
      <c r="AQX260" s="565"/>
      <c r="AQY260" s="565"/>
      <c r="AQZ260" s="565"/>
      <c r="ARA260" s="565"/>
      <c r="ARB260" s="565"/>
      <c r="ARC260" s="565"/>
      <c r="ARD260" s="565"/>
      <c r="ARE260" s="565"/>
      <c r="ARF260" s="565"/>
      <c r="ARG260" s="565"/>
      <c r="ARH260" s="565"/>
      <c r="ARI260" s="565"/>
      <c r="ARJ260" s="565"/>
      <c r="ARK260" s="565"/>
      <c r="ARL260" s="565"/>
      <c r="ARM260" s="565"/>
      <c r="ARN260" s="565"/>
      <c r="ARO260" s="565"/>
      <c r="ARP260" s="566"/>
      <c r="ARQ260" s="565"/>
      <c r="ARR260" s="565"/>
      <c r="ARS260" s="565"/>
      <c r="ART260" s="565"/>
      <c r="ARU260" s="565"/>
      <c r="ARV260" s="565"/>
      <c r="ARW260" s="565"/>
      <c r="ARX260" s="565"/>
      <c r="ARY260" s="565"/>
      <c r="ARZ260" s="565"/>
      <c r="ASA260" s="565"/>
      <c r="ASB260" s="565"/>
      <c r="ASC260" s="565"/>
      <c r="ASD260" s="565"/>
      <c r="ASE260" s="565"/>
      <c r="ASF260" s="565"/>
      <c r="ASG260" s="565"/>
      <c r="ASH260" s="565"/>
      <c r="ASI260" s="565"/>
      <c r="ASJ260" s="566"/>
      <c r="ASK260" s="565"/>
      <c r="ASL260" s="565"/>
      <c r="ASM260" s="565"/>
      <c r="ASN260" s="565"/>
      <c r="ASO260" s="565"/>
      <c r="ASP260" s="565"/>
      <c r="ASQ260" s="565"/>
      <c r="ASR260" s="565"/>
      <c r="ASS260" s="565"/>
      <c r="AST260" s="565"/>
      <c r="ASU260" s="565"/>
      <c r="ASV260" s="565"/>
      <c r="ASW260" s="565"/>
      <c r="ASX260" s="565"/>
      <c r="ASY260" s="565"/>
      <c r="ASZ260" s="565"/>
      <c r="ATA260" s="565"/>
      <c r="ATB260" s="565"/>
      <c r="ATC260" s="565"/>
      <c r="ATD260" s="566"/>
      <c r="ATE260" s="565"/>
      <c r="ATF260" s="565"/>
      <c r="ATG260" s="565"/>
      <c r="ATH260" s="565"/>
      <c r="ATI260" s="565"/>
      <c r="ATJ260" s="565"/>
      <c r="ATK260" s="565"/>
      <c r="ATL260" s="565"/>
      <c r="ATM260" s="565"/>
      <c r="ATN260" s="565"/>
      <c r="ATO260" s="565"/>
      <c r="ATP260" s="565"/>
      <c r="ATQ260" s="565"/>
      <c r="ATR260" s="565"/>
      <c r="ATS260" s="565"/>
      <c r="ATT260" s="565"/>
      <c r="ATU260" s="565"/>
      <c r="ATV260" s="565"/>
      <c r="ATW260" s="565"/>
      <c r="ATX260" s="566"/>
      <c r="ATY260" s="565"/>
      <c r="ATZ260" s="565"/>
      <c r="AUA260" s="565"/>
      <c r="AUB260" s="565"/>
      <c r="AUC260" s="565"/>
      <c r="AUD260" s="565"/>
      <c r="AUE260" s="565"/>
      <c r="AUF260" s="565"/>
      <c r="AUG260" s="565"/>
      <c r="AUH260" s="565"/>
      <c r="AUI260" s="565"/>
      <c r="AUJ260" s="565"/>
      <c r="AUK260" s="565"/>
      <c r="AUL260" s="565"/>
      <c r="AUM260" s="565"/>
      <c r="AUN260" s="565"/>
      <c r="AUO260" s="565"/>
      <c r="AUP260" s="565"/>
      <c r="AUQ260" s="565"/>
      <c r="AUR260" s="566"/>
      <c r="AUS260" s="565"/>
      <c r="AUT260" s="565"/>
      <c r="AUU260" s="565"/>
      <c r="AUV260" s="565"/>
      <c r="AUW260" s="565"/>
      <c r="AUX260" s="565"/>
      <c r="AUY260" s="565"/>
      <c r="AUZ260" s="565"/>
      <c r="AVA260" s="565"/>
      <c r="AVB260" s="565"/>
      <c r="AVC260" s="565"/>
      <c r="AVD260" s="565"/>
      <c r="AVE260" s="565"/>
      <c r="AVF260" s="565"/>
      <c r="AVG260" s="565"/>
      <c r="AVH260" s="565"/>
      <c r="AVI260" s="565"/>
      <c r="AVJ260" s="565"/>
      <c r="AVK260" s="565"/>
      <c r="AVL260" s="566"/>
      <c r="AVM260" s="565"/>
      <c r="AVN260" s="565"/>
      <c r="AVO260" s="565"/>
      <c r="AVP260" s="565"/>
      <c r="AVQ260" s="565"/>
      <c r="AVR260" s="565"/>
      <c r="AVS260" s="565"/>
      <c r="AVT260" s="565"/>
      <c r="AVU260" s="565"/>
      <c r="AVV260" s="565"/>
      <c r="AVW260" s="565"/>
      <c r="AVX260" s="565"/>
      <c r="AVY260" s="565"/>
      <c r="AVZ260" s="565"/>
      <c r="AWA260" s="565"/>
      <c r="AWB260" s="565"/>
      <c r="AWC260" s="565"/>
      <c r="AWD260" s="565"/>
      <c r="AWE260" s="565"/>
      <c r="AWF260" s="566"/>
      <c r="AWG260" s="565"/>
      <c r="AWH260" s="565"/>
      <c r="AWI260" s="565"/>
      <c r="AWJ260" s="565"/>
      <c r="AWK260" s="565"/>
      <c r="AWL260" s="565"/>
      <c r="AWM260" s="565"/>
      <c r="AWN260" s="565"/>
      <c r="AWO260" s="565"/>
      <c r="AWP260" s="565"/>
      <c r="AWQ260" s="565"/>
      <c r="AWR260" s="565"/>
      <c r="AWS260" s="565"/>
      <c r="AWT260" s="565"/>
      <c r="AWU260" s="565"/>
      <c r="AWV260" s="565"/>
      <c r="AWW260" s="565"/>
      <c r="AWX260" s="565"/>
      <c r="AWY260" s="565"/>
      <c r="AWZ260" s="566"/>
      <c r="AXA260" s="565"/>
      <c r="AXB260" s="565"/>
      <c r="AXC260" s="565"/>
      <c r="AXD260" s="565"/>
      <c r="AXE260" s="565"/>
      <c r="AXF260" s="565"/>
      <c r="AXG260" s="565"/>
      <c r="AXH260" s="565"/>
      <c r="AXI260" s="565"/>
      <c r="AXJ260" s="565"/>
      <c r="AXK260" s="565"/>
      <c r="AXL260" s="565"/>
      <c r="AXM260" s="565"/>
      <c r="AXN260" s="565"/>
      <c r="AXO260" s="565"/>
      <c r="AXP260" s="565"/>
      <c r="AXQ260" s="565"/>
      <c r="AXR260" s="565"/>
      <c r="AXS260" s="565"/>
      <c r="AXT260" s="566"/>
      <c r="AXU260" s="565"/>
      <c r="AXV260" s="565"/>
      <c r="AXW260" s="565"/>
      <c r="AXX260" s="565"/>
      <c r="AXY260" s="565"/>
      <c r="AXZ260" s="565"/>
      <c r="AYA260" s="565"/>
      <c r="AYB260" s="565"/>
      <c r="AYC260" s="565"/>
      <c r="AYD260" s="565"/>
      <c r="AYE260" s="565"/>
      <c r="AYF260" s="565"/>
      <c r="AYG260" s="565"/>
      <c r="AYH260" s="565"/>
      <c r="AYI260" s="565"/>
      <c r="AYJ260" s="565"/>
      <c r="AYK260" s="565"/>
      <c r="AYL260" s="565"/>
      <c r="AYM260" s="565"/>
      <c r="AYN260" s="566"/>
      <c r="AYO260" s="565"/>
      <c r="AYP260" s="565"/>
      <c r="AYQ260" s="565"/>
      <c r="AYR260" s="565"/>
      <c r="AYS260" s="565"/>
      <c r="AYT260" s="565"/>
      <c r="AYU260" s="565"/>
      <c r="AYV260" s="565"/>
      <c r="AYW260" s="565"/>
      <c r="AYX260" s="565"/>
      <c r="AYY260" s="565"/>
      <c r="AYZ260" s="565"/>
      <c r="AZA260" s="565"/>
      <c r="AZB260" s="565"/>
      <c r="AZC260" s="565"/>
      <c r="AZD260" s="565"/>
      <c r="AZE260" s="565"/>
      <c r="AZF260" s="565"/>
      <c r="AZG260" s="565"/>
      <c r="AZH260" s="566"/>
      <c r="AZI260" s="565"/>
      <c r="AZJ260" s="565"/>
      <c r="AZK260" s="565"/>
      <c r="AZL260" s="565"/>
      <c r="AZM260" s="565"/>
      <c r="AZN260" s="565"/>
      <c r="AZO260" s="565"/>
      <c r="AZP260" s="565"/>
      <c r="AZQ260" s="565"/>
      <c r="AZR260" s="565"/>
      <c r="AZS260" s="565"/>
      <c r="AZT260" s="565"/>
      <c r="AZU260" s="565"/>
      <c r="AZV260" s="565"/>
      <c r="AZW260" s="565"/>
      <c r="AZX260" s="565"/>
      <c r="AZY260" s="565"/>
      <c r="AZZ260" s="565"/>
      <c r="BAA260" s="565"/>
      <c r="BAB260" s="566"/>
      <c r="BAC260" s="565"/>
      <c r="BAD260" s="565"/>
      <c r="BAE260" s="565"/>
      <c r="BAF260" s="565"/>
      <c r="BAG260" s="565"/>
      <c r="BAH260" s="565"/>
      <c r="BAI260" s="565"/>
      <c r="BAJ260" s="565"/>
      <c r="BAK260" s="565"/>
      <c r="BAL260" s="565"/>
      <c r="BAM260" s="565"/>
      <c r="BAN260" s="565"/>
      <c r="BAO260" s="565"/>
      <c r="BAP260" s="565"/>
      <c r="BAQ260" s="565"/>
      <c r="BAR260" s="565"/>
      <c r="BAS260" s="565"/>
      <c r="BAT260" s="565"/>
      <c r="BAU260" s="565"/>
      <c r="BAV260" s="566"/>
      <c r="BAW260" s="565"/>
      <c r="BAX260" s="565"/>
      <c r="BAY260" s="565"/>
      <c r="BAZ260" s="565"/>
      <c r="BBA260" s="565"/>
      <c r="BBB260" s="565"/>
      <c r="BBC260" s="565"/>
      <c r="BBD260" s="565"/>
      <c r="BBE260" s="565"/>
      <c r="BBF260" s="565"/>
      <c r="BBG260" s="565"/>
      <c r="BBH260" s="565"/>
      <c r="BBI260" s="565"/>
      <c r="BBJ260" s="565"/>
      <c r="BBK260" s="565"/>
      <c r="BBL260" s="565"/>
      <c r="BBM260" s="565"/>
      <c r="BBN260" s="565"/>
      <c r="BBO260" s="565"/>
      <c r="BBP260" s="566"/>
      <c r="BBQ260" s="565"/>
      <c r="BBR260" s="565"/>
      <c r="BBS260" s="565"/>
      <c r="BBT260" s="565"/>
      <c r="BBU260" s="565"/>
      <c r="BBV260" s="565"/>
      <c r="BBW260" s="565"/>
      <c r="BBX260" s="565"/>
      <c r="BBY260" s="565"/>
      <c r="BBZ260" s="565"/>
      <c r="BCA260" s="565"/>
      <c r="BCB260" s="565"/>
      <c r="BCC260" s="565"/>
      <c r="BCD260" s="565"/>
      <c r="BCE260" s="565"/>
      <c r="BCF260" s="565"/>
      <c r="BCG260" s="565"/>
      <c r="BCH260" s="565"/>
      <c r="BCI260" s="565"/>
      <c r="BCJ260" s="566"/>
      <c r="BCK260" s="565"/>
      <c r="BCL260" s="565"/>
      <c r="BCM260" s="565"/>
      <c r="BCN260" s="565"/>
      <c r="BCO260" s="565"/>
      <c r="BCP260" s="565"/>
      <c r="BCQ260" s="565"/>
      <c r="BCR260" s="565"/>
      <c r="BCS260" s="565"/>
      <c r="BCT260" s="565"/>
      <c r="BCU260" s="565"/>
      <c r="BCV260" s="565"/>
      <c r="BCW260" s="565"/>
      <c r="BCX260" s="565"/>
      <c r="BCY260" s="565"/>
      <c r="BCZ260" s="565"/>
      <c r="BDA260" s="565"/>
      <c r="BDB260" s="565"/>
      <c r="BDC260" s="565"/>
      <c r="BDD260" s="566"/>
      <c r="BDE260" s="565"/>
      <c r="BDF260" s="565"/>
      <c r="BDG260" s="565"/>
      <c r="BDH260" s="565"/>
      <c r="BDI260" s="565"/>
      <c r="BDJ260" s="565"/>
      <c r="BDK260" s="565"/>
      <c r="BDL260" s="565"/>
      <c r="BDM260" s="565"/>
      <c r="BDN260" s="565"/>
      <c r="BDO260" s="565"/>
      <c r="BDP260" s="565"/>
      <c r="BDQ260" s="565"/>
      <c r="BDR260" s="565"/>
      <c r="BDS260" s="565"/>
      <c r="BDT260" s="565"/>
      <c r="BDU260" s="565"/>
      <c r="BDV260" s="565"/>
      <c r="BDW260" s="565"/>
      <c r="BDX260" s="566"/>
      <c r="BDY260" s="565"/>
      <c r="BDZ260" s="565"/>
      <c r="BEA260" s="565"/>
      <c r="BEB260" s="565"/>
      <c r="BEC260" s="565"/>
      <c r="BED260" s="565"/>
      <c r="BEE260" s="565"/>
      <c r="BEF260" s="565"/>
      <c r="BEG260" s="565"/>
      <c r="BEH260" s="565"/>
      <c r="BEI260" s="565"/>
      <c r="BEJ260" s="565"/>
      <c r="BEK260" s="565"/>
      <c r="BEL260" s="565"/>
      <c r="BEM260" s="565"/>
      <c r="BEN260" s="565"/>
      <c r="BEO260" s="565"/>
      <c r="BEP260" s="565"/>
      <c r="BEQ260" s="565"/>
      <c r="BER260" s="566"/>
      <c r="BES260" s="565"/>
      <c r="BET260" s="565"/>
      <c r="BEU260" s="565"/>
      <c r="BEV260" s="565"/>
      <c r="BEW260" s="565"/>
      <c r="BEX260" s="565"/>
      <c r="BEY260" s="565"/>
      <c r="BEZ260" s="565"/>
      <c r="BFA260" s="565"/>
      <c r="BFB260" s="565"/>
      <c r="BFC260" s="565"/>
      <c r="BFD260" s="565"/>
      <c r="BFE260" s="565"/>
      <c r="BFF260" s="565"/>
      <c r="BFG260" s="565"/>
      <c r="BFH260" s="565"/>
      <c r="BFI260" s="565"/>
      <c r="BFJ260" s="565"/>
      <c r="BFK260" s="565"/>
      <c r="BFL260" s="566"/>
      <c r="BFM260" s="565"/>
      <c r="BFN260" s="565"/>
      <c r="BFO260" s="565"/>
      <c r="BFP260" s="565"/>
      <c r="BFQ260" s="565"/>
      <c r="BFR260" s="565"/>
      <c r="BFS260" s="565"/>
      <c r="BFT260" s="565"/>
      <c r="BFU260" s="565"/>
      <c r="BFV260" s="565"/>
      <c r="BFW260" s="565"/>
      <c r="BFX260" s="565"/>
      <c r="BFY260" s="565"/>
      <c r="BFZ260" s="565"/>
      <c r="BGA260" s="565"/>
      <c r="BGB260" s="565"/>
      <c r="BGC260" s="565"/>
      <c r="BGD260" s="565"/>
      <c r="BGE260" s="565"/>
      <c r="BGF260" s="566"/>
      <c r="BGG260" s="565"/>
      <c r="BGH260" s="565"/>
      <c r="BGI260" s="565"/>
      <c r="BGJ260" s="565"/>
      <c r="BGK260" s="565"/>
      <c r="BGL260" s="565"/>
      <c r="BGM260" s="565"/>
      <c r="BGN260" s="565"/>
      <c r="BGO260" s="565"/>
      <c r="BGP260" s="565"/>
      <c r="BGQ260" s="565"/>
      <c r="BGR260" s="565"/>
      <c r="BGS260" s="565"/>
      <c r="BGT260" s="565"/>
      <c r="BGU260" s="565"/>
      <c r="BGV260" s="565"/>
      <c r="BGW260" s="565"/>
      <c r="BGX260" s="565"/>
      <c r="BGY260" s="565"/>
      <c r="BGZ260" s="566"/>
      <c r="BHA260" s="565"/>
      <c r="BHB260" s="565"/>
      <c r="BHC260" s="565"/>
      <c r="BHD260" s="565"/>
      <c r="BHE260" s="565"/>
      <c r="BHF260" s="565"/>
      <c r="BHG260" s="565"/>
      <c r="BHH260" s="565"/>
      <c r="BHI260" s="565"/>
      <c r="BHJ260" s="565"/>
      <c r="BHK260" s="565"/>
      <c r="BHL260" s="565"/>
      <c r="BHM260" s="565"/>
      <c r="BHN260" s="565"/>
      <c r="BHO260" s="565"/>
      <c r="BHP260" s="565"/>
      <c r="BHQ260" s="565"/>
      <c r="BHR260" s="565"/>
      <c r="BHS260" s="565"/>
      <c r="BHT260" s="566"/>
      <c r="BHU260" s="565"/>
      <c r="BHV260" s="565"/>
      <c r="BHW260" s="565"/>
      <c r="BHX260" s="565"/>
      <c r="BHY260" s="565"/>
      <c r="BHZ260" s="565"/>
      <c r="BIA260" s="565"/>
      <c r="BIB260" s="565"/>
      <c r="BIC260" s="565"/>
      <c r="BID260" s="565"/>
      <c r="BIE260" s="565"/>
      <c r="BIF260" s="565"/>
      <c r="BIG260" s="565"/>
      <c r="BIH260" s="565"/>
      <c r="BII260" s="565"/>
      <c r="BIJ260" s="565"/>
      <c r="BIK260" s="565"/>
      <c r="BIL260" s="565"/>
      <c r="BIM260" s="565"/>
      <c r="BIN260" s="566"/>
      <c r="BIO260" s="565"/>
      <c r="BIP260" s="565"/>
      <c r="BIQ260" s="565"/>
      <c r="BIR260" s="565"/>
      <c r="BIS260" s="565"/>
      <c r="BIT260" s="565"/>
      <c r="BIU260" s="565"/>
      <c r="BIV260" s="565"/>
      <c r="BIW260" s="565"/>
      <c r="BIX260" s="565"/>
      <c r="BIY260" s="565"/>
      <c r="BIZ260" s="565"/>
      <c r="BJA260" s="565"/>
      <c r="BJB260" s="565"/>
      <c r="BJC260" s="565"/>
      <c r="BJD260" s="565"/>
      <c r="BJE260" s="565"/>
      <c r="BJF260" s="565"/>
      <c r="BJG260" s="565"/>
      <c r="BJH260" s="566"/>
      <c r="BJI260" s="565"/>
      <c r="BJJ260" s="565"/>
      <c r="BJK260" s="565"/>
      <c r="BJL260" s="565"/>
      <c r="BJM260" s="565"/>
      <c r="BJN260" s="565"/>
      <c r="BJO260" s="565"/>
      <c r="BJP260" s="565"/>
      <c r="BJQ260" s="565"/>
      <c r="BJR260" s="565"/>
      <c r="BJS260" s="565"/>
      <c r="BJT260" s="565"/>
      <c r="BJU260" s="565"/>
      <c r="BJV260" s="565"/>
      <c r="BJW260" s="565"/>
      <c r="BJX260" s="565"/>
      <c r="BJY260" s="565"/>
      <c r="BJZ260" s="565"/>
      <c r="BKA260" s="565"/>
      <c r="BKB260" s="566"/>
      <c r="BKC260" s="565"/>
      <c r="BKD260" s="565"/>
      <c r="BKE260" s="565"/>
      <c r="BKF260" s="565"/>
      <c r="BKG260" s="565"/>
      <c r="BKH260" s="565"/>
      <c r="BKI260" s="565"/>
      <c r="BKJ260" s="565"/>
      <c r="BKK260" s="565"/>
      <c r="BKL260" s="565"/>
      <c r="BKM260" s="565"/>
      <c r="BKN260" s="565"/>
      <c r="BKO260" s="565"/>
      <c r="BKP260" s="565"/>
      <c r="BKQ260" s="565"/>
      <c r="BKR260" s="565"/>
      <c r="BKS260" s="565"/>
      <c r="BKT260" s="565"/>
      <c r="BKU260" s="565"/>
      <c r="BKV260" s="566"/>
      <c r="BKW260" s="565"/>
      <c r="BKX260" s="565"/>
      <c r="BKY260" s="565"/>
      <c r="BKZ260" s="565"/>
      <c r="BLA260" s="565"/>
      <c r="BLB260" s="565"/>
      <c r="BLC260" s="565"/>
      <c r="BLD260" s="565"/>
      <c r="BLE260" s="565"/>
      <c r="BLF260" s="565"/>
      <c r="BLG260" s="565"/>
      <c r="BLH260" s="565"/>
      <c r="BLI260" s="565"/>
      <c r="BLJ260" s="565"/>
      <c r="BLK260" s="565"/>
      <c r="BLL260" s="565"/>
      <c r="BLM260" s="565"/>
      <c r="BLN260" s="565"/>
      <c r="BLO260" s="565"/>
      <c r="BLP260" s="566"/>
      <c r="BLQ260" s="565"/>
      <c r="BLR260" s="565"/>
      <c r="BLS260" s="565"/>
      <c r="BLT260" s="565"/>
      <c r="BLU260" s="565"/>
      <c r="BLV260" s="565"/>
      <c r="BLW260" s="565"/>
      <c r="BLX260" s="565"/>
      <c r="BLY260" s="565"/>
      <c r="BLZ260" s="565"/>
      <c r="BMA260" s="565"/>
      <c r="BMB260" s="565"/>
      <c r="BMC260" s="565"/>
      <c r="BMD260" s="565"/>
      <c r="BME260" s="565"/>
      <c r="BMF260" s="565"/>
      <c r="BMG260" s="565"/>
      <c r="BMH260" s="565"/>
      <c r="BMI260" s="565"/>
      <c r="BMJ260" s="566"/>
      <c r="BMK260" s="565"/>
      <c r="BML260" s="565"/>
      <c r="BMM260" s="565"/>
      <c r="BMN260" s="565"/>
      <c r="BMO260" s="565"/>
      <c r="BMP260" s="565"/>
      <c r="BMQ260" s="565"/>
      <c r="BMR260" s="565"/>
      <c r="BMS260" s="565"/>
      <c r="BMT260" s="565"/>
      <c r="BMU260" s="565"/>
      <c r="BMV260" s="565"/>
      <c r="BMW260" s="565"/>
      <c r="BMX260" s="565"/>
      <c r="BMY260" s="565"/>
      <c r="BMZ260" s="565"/>
      <c r="BNA260" s="565"/>
      <c r="BNB260" s="565"/>
      <c r="BNC260" s="565"/>
      <c r="BND260" s="566"/>
      <c r="BNE260" s="565"/>
      <c r="BNF260" s="565"/>
      <c r="BNG260" s="565"/>
      <c r="BNH260" s="565"/>
      <c r="BNI260" s="565"/>
      <c r="BNJ260" s="565"/>
      <c r="BNK260" s="565"/>
      <c r="BNL260" s="565"/>
      <c r="BNM260" s="565"/>
      <c r="BNN260" s="565"/>
      <c r="BNO260" s="565"/>
      <c r="BNP260" s="565"/>
      <c r="BNQ260" s="565"/>
      <c r="BNR260" s="565"/>
      <c r="BNS260" s="565"/>
      <c r="BNT260" s="565"/>
      <c r="BNU260" s="565"/>
      <c r="BNV260" s="565"/>
      <c r="BNW260" s="565"/>
      <c r="BNX260" s="566"/>
      <c r="BNY260" s="565"/>
      <c r="BNZ260" s="565"/>
      <c r="BOA260" s="565"/>
      <c r="BOB260" s="565"/>
      <c r="BOC260" s="565"/>
      <c r="BOD260" s="565"/>
      <c r="BOE260" s="565"/>
      <c r="BOF260" s="565"/>
      <c r="BOG260" s="565"/>
      <c r="BOH260" s="565"/>
      <c r="BOI260" s="565"/>
      <c r="BOJ260" s="565"/>
      <c r="BOK260" s="565"/>
      <c r="BOL260" s="565"/>
      <c r="BOM260" s="565"/>
      <c r="BON260" s="565"/>
      <c r="BOO260" s="565"/>
      <c r="BOP260" s="565"/>
      <c r="BOQ260" s="565"/>
      <c r="BOR260" s="566"/>
      <c r="BOS260" s="565"/>
      <c r="BOT260" s="565"/>
      <c r="BOU260" s="565"/>
      <c r="BOV260" s="565"/>
      <c r="BOW260" s="565"/>
      <c r="BOX260" s="565"/>
      <c r="BOY260" s="565"/>
      <c r="BOZ260" s="565"/>
      <c r="BPA260" s="565"/>
      <c r="BPB260" s="565"/>
      <c r="BPC260" s="565"/>
      <c r="BPD260" s="565"/>
      <c r="BPE260" s="565"/>
      <c r="BPF260" s="565"/>
      <c r="BPG260" s="565"/>
      <c r="BPH260" s="565"/>
      <c r="BPI260" s="565"/>
      <c r="BPJ260" s="565"/>
      <c r="BPK260" s="565"/>
      <c r="BPL260" s="566"/>
      <c r="BPM260" s="565"/>
      <c r="BPN260" s="565"/>
      <c r="BPO260" s="565"/>
      <c r="BPP260" s="565"/>
      <c r="BPQ260" s="565"/>
      <c r="BPR260" s="565"/>
      <c r="BPS260" s="565"/>
      <c r="BPT260" s="565"/>
      <c r="BPU260" s="565"/>
      <c r="BPV260" s="565"/>
      <c r="BPW260" s="565"/>
      <c r="BPX260" s="565"/>
      <c r="BPY260" s="565"/>
      <c r="BPZ260" s="565"/>
      <c r="BQA260" s="565"/>
      <c r="BQB260" s="565"/>
      <c r="BQC260" s="565"/>
      <c r="BQD260" s="565"/>
      <c r="BQE260" s="565"/>
      <c r="BQF260" s="566"/>
      <c r="BQG260" s="565"/>
      <c r="BQH260" s="565"/>
      <c r="BQI260" s="565"/>
      <c r="BQJ260" s="565"/>
      <c r="BQK260" s="565"/>
      <c r="BQL260" s="565"/>
      <c r="BQM260" s="565"/>
      <c r="BQN260" s="565"/>
      <c r="BQO260" s="565"/>
      <c r="BQP260" s="565"/>
      <c r="BQQ260" s="565"/>
      <c r="BQR260" s="565"/>
      <c r="BQS260" s="565"/>
      <c r="BQT260" s="565"/>
      <c r="BQU260" s="565"/>
      <c r="BQV260" s="565"/>
      <c r="BQW260" s="565"/>
      <c r="BQX260" s="565"/>
      <c r="BQY260" s="565"/>
      <c r="BQZ260" s="566"/>
      <c r="BRA260" s="565"/>
      <c r="BRB260" s="565"/>
      <c r="BRC260" s="565"/>
      <c r="BRD260" s="565"/>
      <c r="BRE260" s="565"/>
      <c r="BRF260" s="565"/>
      <c r="BRG260" s="565"/>
      <c r="BRH260" s="565"/>
      <c r="BRI260" s="565"/>
      <c r="BRJ260" s="565"/>
      <c r="BRK260" s="565"/>
      <c r="BRL260" s="565"/>
      <c r="BRM260" s="565"/>
      <c r="BRN260" s="565"/>
      <c r="BRO260" s="565"/>
      <c r="BRP260" s="565"/>
      <c r="BRQ260" s="565"/>
      <c r="BRR260" s="565"/>
      <c r="BRS260" s="565"/>
      <c r="BRT260" s="566"/>
      <c r="BRU260" s="565"/>
      <c r="BRV260" s="565"/>
      <c r="BRW260" s="565"/>
      <c r="BRX260" s="565"/>
      <c r="BRY260" s="565"/>
      <c r="BRZ260" s="565"/>
      <c r="BSA260" s="565"/>
      <c r="BSB260" s="565"/>
      <c r="BSC260" s="565"/>
      <c r="BSD260" s="565"/>
      <c r="BSE260" s="565"/>
      <c r="BSF260" s="565"/>
      <c r="BSG260" s="565"/>
      <c r="BSH260" s="565"/>
      <c r="BSI260" s="565"/>
      <c r="BSJ260" s="565"/>
      <c r="BSK260" s="565"/>
      <c r="BSL260" s="565"/>
      <c r="BSM260" s="565"/>
      <c r="BSN260" s="566"/>
      <c r="BSO260" s="565"/>
      <c r="BSP260" s="565"/>
      <c r="BSQ260" s="565"/>
      <c r="BSR260" s="565"/>
      <c r="BSS260" s="565"/>
      <c r="BST260" s="565"/>
      <c r="BSU260" s="565"/>
      <c r="BSV260" s="565"/>
      <c r="BSW260" s="565"/>
      <c r="BSX260" s="565"/>
      <c r="BSY260" s="565"/>
      <c r="BSZ260" s="565"/>
      <c r="BTA260" s="565"/>
      <c r="BTB260" s="565"/>
      <c r="BTC260" s="565"/>
      <c r="BTD260" s="565"/>
      <c r="BTE260" s="565"/>
      <c r="BTF260" s="565"/>
      <c r="BTG260" s="565"/>
      <c r="BTH260" s="566"/>
      <c r="BTI260" s="565"/>
      <c r="BTJ260" s="565"/>
      <c r="BTK260" s="565"/>
      <c r="BTL260" s="565"/>
      <c r="BTM260" s="565"/>
      <c r="BTN260" s="565"/>
      <c r="BTO260" s="565"/>
      <c r="BTP260" s="565"/>
      <c r="BTQ260" s="565"/>
      <c r="BTR260" s="565"/>
      <c r="BTS260" s="565"/>
      <c r="BTT260" s="565"/>
      <c r="BTU260" s="565"/>
      <c r="BTV260" s="565"/>
      <c r="BTW260" s="565"/>
      <c r="BTX260" s="565"/>
      <c r="BTY260" s="565"/>
      <c r="BTZ260" s="565"/>
      <c r="BUA260" s="565"/>
      <c r="BUB260" s="566"/>
      <c r="BUC260" s="565"/>
      <c r="BUD260" s="565"/>
      <c r="BUE260" s="565"/>
      <c r="BUF260" s="565"/>
      <c r="BUG260" s="565"/>
      <c r="BUH260" s="565"/>
      <c r="BUI260" s="565"/>
      <c r="BUJ260" s="565"/>
      <c r="BUK260" s="565"/>
      <c r="BUL260" s="565"/>
      <c r="BUM260" s="565"/>
      <c r="BUN260" s="565"/>
      <c r="BUO260" s="565"/>
      <c r="BUP260" s="565"/>
      <c r="BUQ260" s="565"/>
      <c r="BUR260" s="565"/>
      <c r="BUS260" s="565"/>
      <c r="BUT260" s="565"/>
      <c r="BUU260" s="565"/>
      <c r="BUV260" s="566"/>
      <c r="BUW260" s="565"/>
      <c r="BUX260" s="565"/>
      <c r="BUY260" s="565"/>
      <c r="BUZ260" s="565"/>
      <c r="BVA260" s="565"/>
      <c r="BVB260" s="565"/>
      <c r="BVC260" s="565"/>
      <c r="BVD260" s="565"/>
      <c r="BVE260" s="565"/>
      <c r="BVF260" s="565"/>
      <c r="BVG260" s="565"/>
      <c r="BVH260" s="565"/>
      <c r="BVI260" s="565"/>
      <c r="BVJ260" s="565"/>
      <c r="BVK260" s="565"/>
      <c r="BVL260" s="565"/>
      <c r="BVM260" s="565"/>
      <c r="BVN260" s="565"/>
      <c r="BVO260" s="565"/>
      <c r="BVP260" s="566"/>
      <c r="BVQ260" s="565"/>
      <c r="BVR260" s="565"/>
      <c r="BVS260" s="565"/>
      <c r="BVT260" s="565"/>
      <c r="BVU260" s="565"/>
      <c r="BVV260" s="565"/>
      <c r="BVW260" s="565"/>
      <c r="BVX260" s="565"/>
      <c r="BVY260" s="565"/>
      <c r="BVZ260" s="565"/>
      <c r="BWA260" s="565"/>
      <c r="BWB260" s="565"/>
      <c r="BWC260" s="565"/>
      <c r="BWD260" s="565"/>
      <c r="BWE260" s="565"/>
      <c r="BWF260" s="565"/>
      <c r="BWG260" s="565"/>
      <c r="BWH260" s="565"/>
      <c r="BWI260" s="565"/>
      <c r="BWJ260" s="566"/>
      <c r="BWK260" s="565"/>
      <c r="BWL260" s="565"/>
      <c r="BWM260" s="565"/>
      <c r="BWN260" s="565"/>
      <c r="BWO260" s="565"/>
      <c r="BWP260" s="565"/>
      <c r="BWQ260" s="565"/>
      <c r="BWR260" s="565"/>
      <c r="BWS260" s="565"/>
      <c r="BWT260" s="565"/>
      <c r="BWU260" s="565"/>
      <c r="BWV260" s="565"/>
      <c r="BWW260" s="565"/>
      <c r="BWX260" s="565"/>
      <c r="BWY260" s="565"/>
      <c r="BWZ260" s="565"/>
      <c r="BXA260" s="565"/>
      <c r="BXB260" s="565"/>
      <c r="BXC260" s="565"/>
      <c r="BXD260" s="566"/>
      <c r="BXE260" s="565"/>
      <c r="BXF260" s="565"/>
      <c r="BXG260" s="565"/>
      <c r="BXH260" s="565"/>
      <c r="BXI260" s="565"/>
      <c r="BXJ260" s="565"/>
      <c r="BXK260" s="565"/>
      <c r="BXL260" s="565"/>
      <c r="BXM260" s="565"/>
      <c r="BXN260" s="565"/>
      <c r="BXO260" s="565"/>
      <c r="BXP260" s="565"/>
      <c r="BXQ260" s="565"/>
      <c r="BXR260" s="565"/>
      <c r="BXS260" s="565"/>
      <c r="BXT260" s="565"/>
      <c r="BXU260" s="565"/>
      <c r="BXV260" s="565"/>
      <c r="BXW260" s="565"/>
      <c r="BXX260" s="566"/>
      <c r="BXY260" s="565"/>
      <c r="BXZ260" s="565"/>
      <c r="BYA260" s="565"/>
      <c r="BYB260" s="565"/>
      <c r="BYC260" s="565"/>
      <c r="BYD260" s="565"/>
      <c r="BYE260" s="565"/>
      <c r="BYF260" s="565"/>
      <c r="BYG260" s="565"/>
      <c r="BYH260" s="565"/>
      <c r="BYI260" s="565"/>
      <c r="BYJ260" s="565"/>
      <c r="BYK260" s="565"/>
      <c r="BYL260" s="565"/>
      <c r="BYM260" s="565"/>
      <c r="BYN260" s="565"/>
      <c r="BYO260" s="565"/>
      <c r="BYP260" s="565"/>
      <c r="BYQ260" s="565"/>
      <c r="BYR260" s="566"/>
      <c r="BYS260" s="565"/>
      <c r="BYT260" s="565"/>
      <c r="BYU260" s="565"/>
      <c r="BYV260" s="565"/>
      <c r="BYW260" s="565"/>
      <c r="BYX260" s="565"/>
      <c r="BYY260" s="565"/>
      <c r="BYZ260" s="565"/>
      <c r="BZA260" s="565"/>
      <c r="BZB260" s="565"/>
      <c r="BZC260" s="565"/>
      <c r="BZD260" s="565"/>
      <c r="BZE260" s="565"/>
      <c r="BZF260" s="565"/>
      <c r="BZG260" s="565"/>
      <c r="BZH260" s="565"/>
      <c r="BZI260" s="565"/>
      <c r="BZJ260" s="565"/>
      <c r="BZK260" s="565"/>
      <c r="BZL260" s="566"/>
      <c r="BZM260" s="565"/>
      <c r="BZN260" s="565"/>
      <c r="BZO260" s="565"/>
      <c r="BZP260" s="565"/>
      <c r="BZQ260" s="565"/>
      <c r="BZR260" s="565"/>
      <c r="BZS260" s="565"/>
      <c r="BZT260" s="565"/>
      <c r="BZU260" s="565"/>
      <c r="BZV260" s="565"/>
      <c r="BZW260" s="565"/>
      <c r="BZX260" s="565"/>
      <c r="BZY260" s="565"/>
      <c r="BZZ260" s="565"/>
      <c r="CAA260" s="565"/>
      <c r="CAB260" s="565"/>
      <c r="CAC260" s="565"/>
      <c r="CAD260" s="565"/>
      <c r="CAE260" s="565"/>
      <c r="CAF260" s="566"/>
      <c r="CAG260" s="565"/>
      <c r="CAH260" s="565"/>
      <c r="CAI260" s="565"/>
      <c r="CAJ260" s="565"/>
      <c r="CAK260" s="565"/>
      <c r="CAL260" s="565"/>
      <c r="CAM260" s="565"/>
      <c r="CAN260" s="565"/>
      <c r="CAO260" s="565"/>
      <c r="CAP260" s="565"/>
      <c r="CAQ260" s="565"/>
      <c r="CAR260" s="565"/>
      <c r="CAS260" s="565"/>
      <c r="CAT260" s="565"/>
      <c r="CAU260" s="565"/>
      <c r="CAV260" s="565"/>
      <c r="CAW260" s="565"/>
      <c r="CAX260" s="565"/>
      <c r="CAY260" s="565"/>
      <c r="CAZ260" s="566"/>
      <c r="CBA260" s="565"/>
      <c r="CBB260" s="565"/>
      <c r="CBC260" s="565"/>
      <c r="CBD260" s="565"/>
      <c r="CBE260" s="565"/>
      <c r="CBF260" s="565"/>
      <c r="CBG260" s="565"/>
      <c r="CBH260" s="565"/>
      <c r="CBI260" s="565"/>
      <c r="CBJ260" s="565"/>
      <c r="CBK260" s="565"/>
      <c r="CBL260" s="565"/>
      <c r="CBM260" s="565"/>
      <c r="CBN260" s="565"/>
      <c r="CBO260" s="565"/>
      <c r="CBP260" s="565"/>
      <c r="CBQ260" s="565"/>
      <c r="CBR260" s="565"/>
      <c r="CBS260" s="565"/>
      <c r="CBT260" s="566"/>
      <c r="CBU260" s="565"/>
      <c r="CBV260" s="565"/>
      <c r="CBW260" s="565"/>
      <c r="CBX260" s="565"/>
      <c r="CBY260" s="565"/>
      <c r="CBZ260" s="565"/>
      <c r="CCA260" s="565"/>
      <c r="CCB260" s="565"/>
      <c r="CCC260" s="565"/>
      <c r="CCD260" s="565"/>
      <c r="CCE260" s="565"/>
      <c r="CCF260" s="565"/>
      <c r="CCG260" s="565"/>
      <c r="CCH260" s="565"/>
      <c r="CCI260" s="565"/>
      <c r="CCJ260" s="565"/>
      <c r="CCK260" s="565"/>
      <c r="CCL260" s="565"/>
      <c r="CCM260" s="565"/>
      <c r="CCN260" s="566"/>
      <c r="CCO260" s="565"/>
      <c r="CCP260" s="565"/>
      <c r="CCQ260" s="565"/>
      <c r="CCR260" s="565"/>
      <c r="CCS260" s="565"/>
      <c r="CCT260" s="565"/>
      <c r="CCU260" s="565"/>
      <c r="CCV260" s="565"/>
      <c r="CCW260" s="565"/>
      <c r="CCX260" s="565"/>
      <c r="CCY260" s="565"/>
      <c r="CCZ260" s="565"/>
      <c r="CDA260" s="565"/>
      <c r="CDB260" s="565"/>
      <c r="CDC260" s="565"/>
      <c r="CDD260" s="565"/>
      <c r="CDE260" s="565"/>
      <c r="CDF260" s="565"/>
      <c r="CDG260" s="565"/>
      <c r="CDH260" s="566"/>
      <c r="CDI260" s="565"/>
      <c r="CDJ260" s="565"/>
      <c r="CDK260" s="565"/>
      <c r="CDL260" s="565"/>
      <c r="CDM260" s="565"/>
      <c r="CDN260" s="565"/>
      <c r="CDO260" s="565"/>
      <c r="CDP260" s="565"/>
      <c r="CDQ260" s="565"/>
      <c r="CDR260" s="565"/>
      <c r="CDS260" s="565"/>
      <c r="CDT260" s="565"/>
      <c r="CDU260" s="565"/>
      <c r="CDV260" s="565"/>
      <c r="CDW260" s="565"/>
      <c r="CDX260" s="565"/>
      <c r="CDY260" s="565"/>
      <c r="CDZ260" s="565"/>
      <c r="CEA260" s="565"/>
      <c r="CEB260" s="566"/>
      <c r="CEC260" s="565"/>
      <c r="CED260" s="565"/>
      <c r="CEE260" s="565"/>
      <c r="CEF260" s="565"/>
      <c r="CEG260" s="565"/>
      <c r="CEH260" s="565"/>
      <c r="CEI260" s="565"/>
      <c r="CEJ260" s="565"/>
      <c r="CEK260" s="565"/>
      <c r="CEL260" s="565"/>
      <c r="CEM260" s="565"/>
      <c r="CEN260" s="565"/>
      <c r="CEO260" s="565"/>
      <c r="CEP260" s="565"/>
      <c r="CEQ260" s="565"/>
      <c r="CER260" s="565"/>
      <c r="CES260" s="565"/>
      <c r="CET260" s="565"/>
      <c r="CEU260" s="565"/>
      <c r="CEV260" s="566"/>
      <c r="CEW260" s="565"/>
      <c r="CEX260" s="565"/>
      <c r="CEY260" s="565"/>
      <c r="CEZ260" s="565"/>
      <c r="CFA260" s="565"/>
      <c r="CFB260" s="565"/>
      <c r="CFC260" s="565"/>
      <c r="CFD260" s="565"/>
      <c r="CFE260" s="565"/>
      <c r="CFF260" s="565"/>
      <c r="CFG260" s="565"/>
      <c r="CFH260" s="565"/>
      <c r="CFI260" s="565"/>
      <c r="CFJ260" s="565"/>
      <c r="CFK260" s="565"/>
      <c r="CFL260" s="565"/>
      <c r="CFM260" s="565"/>
      <c r="CFN260" s="565"/>
      <c r="CFO260" s="565"/>
      <c r="CFP260" s="566"/>
      <c r="CFQ260" s="565"/>
      <c r="CFR260" s="565"/>
      <c r="CFS260" s="565"/>
      <c r="CFT260" s="565"/>
      <c r="CFU260" s="565"/>
      <c r="CFV260" s="565"/>
      <c r="CFW260" s="565"/>
      <c r="CFX260" s="565"/>
      <c r="CFY260" s="565"/>
      <c r="CFZ260" s="565"/>
      <c r="CGA260" s="565"/>
      <c r="CGB260" s="565"/>
      <c r="CGC260" s="565"/>
      <c r="CGD260" s="565"/>
      <c r="CGE260" s="565"/>
      <c r="CGF260" s="565"/>
      <c r="CGG260" s="565"/>
      <c r="CGH260" s="565"/>
      <c r="CGI260" s="565"/>
      <c r="CGJ260" s="566"/>
      <c r="CGK260" s="565"/>
      <c r="CGL260" s="565"/>
      <c r="CGM260" s="565"/>
      <c r="CGN260" s="565"/>
      <c r="CGO260" s="565"/>
      <c r="CGP260" s="565"/>
      <c r="CGQ260" s="565"/>
      <c r="CGR260" s="565"/>
      <c r="CGS260" s="565"/>
      <c r="CGT260" s="565"/>
      <c r="CGU260" s="565"/>
      <c r="CGV260" s="565"/>
      <c r="CGW260" s="565"/>
      <c r="CGX260" s="565"/>
      <c r="CGY260" s="565"/>
      <c r="CGZ260" s="565"/>
      <c r="CHA260" s="565"/>
      <c r="CHB260" s="565"/>
      <c r="CHC260" s="565"/>
      <c r="CHD260" s="566"/>
      <c r="CHE260" s="565"/>
      <c r="CHF260" s="565"/>
      <c r="CHG260" s="565"/>
      <c r="CHH260" s="565"/>
      <c r="CHI260" s="565"/>
      <c r="CHJ260" s="565"/>
      <c r="CHK260" s="565"/>
      <c r="CHL260" s="565"/>
      <c r="CHM260" s="565"/>
      <c r="CHN260" s="565"/>
      <c r="CHO260" s="565"/>
      <c r="CHP260" s="565"/>
      <c r="CHQ260" s="565"/>
      <c r="CHR260" s="565"/>
      <c r="CHS260" s="565"/>
      <c r="CHT260" s="565"/>
      <c r="CHU260" s="565"/>
      <c r="CHV260" s="565"/>
      <c r="CHW260" s="565"/>
      <c r="CHX260" s="566"/>
      <c r="CHY260" s="565"/>
      <c r="CHZ260" s="565"/>
      <c r="CIA260" s="565"/>
      <c r="CIB260" s="565"/>
      <c r="CIC260" s="565"/>
      <c r="CID260" s="565"/>
      <c r="CIE260" s="565"/>
      <c r="CIF260" s="565"/>
      <c r="CIG260" s="565"/>
      <c r="CIH260" s="565"/>
      <c r="CII260" s="565"/>
      <c r="CIJ260" s="565"/>
      <c r="CIK260" s="565"/>
      <c r="CIL260" s="565"/>
      <c r="CIM260" s="565"/>
      <c r="CIN260" s="565"/>
      <c r="CIO260" s="565"/>
      <c r="CIP260" s="565"/>
      <c r="CIQ260" s="565"/>
      <c r="CIR260" s="566"/>
      <c r="CIS260" s="565"/>
      <c r="CIT260" s="565"/>
      <c r="CIU260" s="565"/>
      <c r="CIV260" s="565"/>
      <c r="CIW260" s="565"/>
      <c r="CIX260" s="565"/>
      <c r="CIY260" s="565"/>
      <c r="CIZ260" s="565"/>
      <c r="CJA260" s="565"/>
      <c r="CJB260" s="565"/>
      <c r="CJC260" s="565"/>
      <c r="CJD260" s="565"/>
      <c r="CJE260" s="565"/>
      <c r="CJF260" s="565"/>
      <c r="CJG260" s="565"/>
      <c r="CJH260" s="565"/>
      <c r="CJI260" s="565"/>
      <c r="CJJ260" s="565"/>
      <c r="CJK260" s="565"/>
      <c r="CJL260" s="566"/>
      <c r="CJM260" s="565"/>
      <c r="CJN260" s="565"/>
      <c r="CJO260" s="565"/>
      <c r="CJP260" s="565"/>
      <c r="CJQ260" s="565"/>
      <c r="CJR260" s="565"/>
      <c r="CJS260" s="565"/>
      <c r="CJT260" s="565"/>
      <c r="CJU260" s="565"/>
      <c r="CJV260" s="565"/>
      <c r="CJW260" s="565"/>
      <c r="CJX260" s="565"/>
      <c r="CJY260" s="565"/>
      <c r="CJZ260" s="565"/>
      <c r="CKA260" s="565"/>
      <c r="CKB260" s="565"/>
      <c r="CKC260" s="565"/>
      <c r="CKD260" s="565"/>
      <c r="CKE260" s="565"/>
      <c r="CKF260" s="566"/>
      <c r="CKG260" s="565"/>
      <c r="CKH260" s="565"/>
      <c r="CKI260" s="565"/>
      <c r="CKJ260" s="565"/>
      <c r="CKK260" s="565"/>
      <c r="CKL260" s="565"/>
      <c r="CKM260" s="565"/>
      <c r="CKN260" s="565"/>
      <c r="CKO260" s="565"/>
      <c r="CKP260" s="565"/>
      <c r="CKQ260" s="565"/>
      <c r="CKR260" s="565"/>
      <c r="CKS260" s="565"/>
      <c r="CKT260" s="565"/>
      <c r="CKU260" s="565"/>
      <c r="CKV260" s="565"/>
      <c r="CKW260" s="565"/>
      <c r="CKX260" s="565"/>
      <c r="CKY260" s="565"/>
      <c r="CKZ260" s="566"/>
      <c r="CLA260" s="565"/>
      <c r="CLB260" s="565"/>
      <c r="CLC260" s="565"/>
      <c r="CLD260" s="565"/>
      <c r="CLE260" s="565"/>
      <c r="CLF260" s="565"/>
      <c r="CLG260" s="565"/>
      <c r="CLH260" s="565"/>
      <c r="CLI260" s="565"/>
      <c r="CLJ260" s="565"/>
      <c r="CLK260" s="565"/>
      <c r="CLL260" s="565"/>
      <c r="CLM260" s="565"/>
      <c r="CLN260" s="565"/>
      <c r="CLO260" s="565"/>
      <c r="CLP260" s="565"/>
      <c r="CLQ260" s="565"/>
      <c r="CLR260" s="565"/>
      <c r="CLS260" s="565"/>
      <c r="CLT260" s="566"/>
      <c r="CLU260" s="565"/>
      <c r="CLV260" s="565"/>
      <c r="CLW260" s="565"/>
      <c r="CLX260" s="565"/>
      <c r="CLY260" s="565"/>
      <c r="CLZ260" s="565"/>
      <c r="CMA260" s="565"/>
      <c r="CMB260" s="565"/>
      <c r="CMC260" s="565"/>
      <c r="CMD260" s="565"/>
      <c r="CME260" s="565"/>
      <c r="CMF260" s="565"/>
      <c r="CMG260" s="565"/>
      <c r="CMH260" s="565"/>
      <c r="CMI260" s="565"/>
      <c r="CMJ260" s="565"/>
      <c r="CMK260" s="565"/>
      <c r="CML260" s="565"/>
      <c r="CMM260" s="565"/>
      <c r="CMN260" s="566"/>
      <c r="CMO260" s="565"/>
      <c r="CMP260" s="565"/>
      <c r="CMQ260" s="565"/>
      <c r="CMR260" s="565"/>
      <c r="CMS260" s="565"/>
      <c r="CMT260" s="565"/>
      <c r="CMU260" s="565"/>
      <c r="CMV260" s="565"/>
      <c r="CMW260" s="565"/>
      <c r="CMX260" s="565"/>
      <c r="CMY260" s="565"/>
      <c r="CMZ260" s="565"/>
      <c r="CNA260" s="565"/>
      <c r="CNB260" s="565"/>
      <c r="CNC260" s="565"/>
      <c r="CND260" s="565"/>
      <c r="CNE260" s="565"/>
      <c r="CNF260" s="565"/>
      <c r="CNG260" s="565"/>
      <c r="CNH260" s="566"/>
      <c r="CNI260" s="565"/>
      <c r="CNJ260" s="565"/>
      <c r="CNK260" s="565"/>
      <c r="CNL260" s="565"/>
      <c r="CNM260" s="565"/>
      <c r="CNN260" s="565"/>
      <c r="CNO260" s="565"/>
      <c r="CNP260" s="565"/>
      <c r="CNQ260" s="565"/>
      <c r="CNR260" s="565"/>
      <c r="CNS260" s="565"/>
      <c r="CNT260" s="565"/>
      <c r="CNU260" s="565"/>
      <c r="CNV260" s="565"/>
      <c r="CNW260" s="565"/>
      <c r="CNX260" s="565"/>
      <c r="CNY260" s="565"/>
      <c r="CNZ260" s="565"/>
      <c r="COA260" s="565"/>
      <c r="COB260" s="566"/>
      <c r="COC260" s="565"/>
      <c r="COD260" s="565"/>
      <c r="COE260" s="565"/>
      <c r="COF260" s="565"/>
      <c r="COG260" s="565"/>
      <c r="COH260" s="565"/>
      <c r="COI260" s="565"/>
      <c r="COJ260" s="565"/>
      <c r="COK260" s="565"/>
      <c r="COL260" s="565"/>
      <c r="COM260" s="565"/>
      <c r="CON260" s="565"/>
      <c r="COO260" s="565"/>
      <c r="COP260" s="565"/>
      <c r="COQ260" s="565"/>
      <c r="COR260" s="565"/>
      <c r="COS260" s="565"/>
      <c r="COT260" s="565"/>
      <c r="COU260" s="565"/>
      <c r="COV260" s="566"/>
      <c r="COW260" s="565"/>
      <c r="COX260" s="565"/>
      <c r="COY260" s="565"/>
      <c r="COZ260" s="565"/>
      <c r="CPA260" s="565"/>
      <c r="CPB260" s="565"/>
      <c r="CPC260" s="565"/>
      <c r="CPD260" s="565"/>
      <c r="CPE260" s="565"/>
      <c r="CPF260" s="565"/>
      <c r="CPG260" s="565"/>
      <c r="CPH260" s="565"/>
      <c r="CPI260" s="565"/>
      <c r="CPJ260" s="565"/>
      <c r="CPK260" s="565"/>
      <c r="CPL260" s="565"/>
      <c r="CPM260" s="565"/>
      <c r="CPN260" s="565"/>
      <c r="CPO260" s="565"/>
      <c r="CPP260" s="566"/>
      <c r="CPQ260" s="565"/>
      <c r="CPR260" s="565"/>
      <c r="CPS260" s="565"/>
      <c r="CPT260" s="565"/>
      <c r="CPU260" s="565"/>
      <c r="CPV260" s="565"/>
      <c r="CPW260" s="565"/>
      <c r="CPX260" s="565"/>
      <c r="CPY260" s="565"/>
      <c r="CPZ260" s="565"/>
      <c r="CQA260" s="565"/>
      <c r="CQB260" s="565"/>
      <c r="CQC260" s="565"/>
      <c r="CQD260" s="565"/>
      <c r="CQE260" s="565"/>
      <c r="CQF260" s="565"/>
      <c r="CQG260" s="565"/>
      <c r="CQH260" s="565"/>
      <c r="CQI260" s="565"/>
      <c r="CQJ260" s="566"/>
      <c r="CQK260" s="565"/>
      <c r="CQL260" s="565"/>
      <c r="CQM260" s="565"/>
      <c r="CQN260" s="565"/>
      <c r="CQO260" s="565"/>
      <c r="CQP260" s="565"/>
      <c r="CQQ260" s="565"/>
      <c r="CQR260" s="565"/>
      <c r="CQS260" s="565"/>
      <c r="CQT260" s="565"/>
      <c r="CQU260" s="565"/>
      <c r="CQV260" s="565"/>
      <c r="CQW260" s="565"/>
      <c r="CQX260" s="565"/>
      <c r="CQY260" s="565"/>
      <c r="CQZ260" s="565"/>
      <c r="CRA260" s="565"/>
      <c r="CRB260" s="565"/>
      <c r="CRC260" s="565"/>
      <c r="CRD260" s="566"/>
      <c r="CRE260" s="565"/>
      <c r="CRF260" s="565"/>
      <c r="CRG260" s="565"/>
      <c r="CRH260" s="565"/>
      <c r="CRI260" s="565"/>
      <c r="CRJ260" s="565"/>
      <c r="CRK260" s="565"/>
      <c r="CRL260" s="565"/>
      <c r="CRM260" s="565"/>
      <c r="CRN260" s="565"/>
      <c r="CRO260" s="565"/>
      <c r="CRP260" s="565"/>
      <c r="CRQ260" s="565"/>
      <c r="CRR260" s="565"/>
      <c r="CRS260" s="565"/>
      <c r="CRT260" s="565"/>
      <c r="CRU260" s="565"/>
      <c r="CRV260" s="565"/>
      <c r="CRW260" s="565"/>
      <c r="CRX260" s="566"/>
      <c r="CRY260" s="565"/>
      <c r="CRZ260" s="565"/>
      <c r="CSA260" s="565"/>
      <c r="CSB260" s="565"/>
      <c r="CSC260" s="565"/>
      <c r="CSD260" s="565"/>
      <c r="CSE260" s="565"/>
      <c r="CSF260" s="565"/>
      <c r="CSG260" s="565"/>
      <c r="CSH260" s="565"/>
      <c r="CSI260" s="565"/>
      <c r="CSJ260" s="565"/>
      <c r="CSK260" s="565"/>
      <c r="CSL260" s="565"/>
      <c r="CSM260" s="565"/>
      <c r="CSN260" s="565"/>
      <c r="CSO260" s="565"/>
      <c r="CSP260" s="565"/>
      <c r="CSQ260" s="565"/>
      <c r="CSR260" s="566"/>
      <c r="CSS260" s="565"/>
      <c r="CST260" s="565"/>
      <c r="CSU260" s="565"/>
      <c r="CSV260" s="565"/>
      <c r="CSW260" s="565"/>
      <c r="CSX260" s="565"/>
      <c r="CSY260" s="565"/>
      <c r="CSZ260" s="565"/>
      <c r="CTA260" s="565"/>
      <c r="CTB260" s="565"/>
      <c r="CTC260" s="565"/>
      <c r="CTD260" s="565"/>
      <c r="CTE260" s="565"/>
      <c r="CTF260" s="565"/>
      <c r="CTG260" s="565"/>
      <c r="CTH260" s="565"/>
      <c r="CTI260" s="565"/>
      <c r="CTJ260" s="565"/>
      <c r="CTK260" s="565"/>
      <c r="CTL260" s="566"/>
      <c r="CTM260" s="565"/>
      <c r="CTN260" s="565"/>
      <c r="CTO260" s="565"/>
      <c r="CTP260" s="565"/>
      <c r="CTQ260" s="565"/>
      <c r="CTR260" s="565"/>
      <c r="CTS260" s="565"/>
      <c r="CTT260" s="565"/>
      <c r="CTU260" s="565"/>
      <c r="CTV260" s="565"/>
      <c r="CTW260" s="565"/>
      <c r="CTX260" s="565"/>
      <c r="CTY260" s="565"/>
      <c r="CTZ260" s="565"/>
      <c r="CUA260" s="565"/>
      <c r="CUB260" s="565"/>
      <c r="CUC260" s="565"/>
      <c r="CUD260" s="565"/>
      <c r="CUE260" s="565"/>
      <c r="CUF260" s="566"/>
      <c r="CUG260" s="565"/>
      <c r="CUH260" s="565"/>
      <c r="CUI260" s="565"/>
      <c r="CUJ260" s="565"/>
      <c r="CUK260" s="565"/>
      <c r="CUL260" s="565"/>
      <c r="CUM260" s="565"/>
      <c r="CUN260" s="565"/>
      <c r="CUO260" s="565"/>
      <c r="CUP260" s="565"/>
      <c r="CUQ260" s="565"/>
      <c r="CUR260" s="565"/>
      <c r="CUS260" s="565"/>
      <c r="CUT260" s="565"/>
      <c r="CUU260" s="565"/>
      <c r="CUV260" s="565"/>
      <c r="CUW260" s="565"/>
      <c r="CUX260" s="565"/>
      <c r="CUY260" s="565"/>
      <c r="CUZ260" s="566"/>
      <c r="CVA260" s="565"/>
      <c r="CVB260" s="565"/>
      <c r="CVC260" s="565"/>
      <c r="CVD260" s="565"/>
      <c r="CVE260" s="565"/>
      <c r="CVF260" s="565"/>
      <c r="CVG260" s="565"/>
      <c r="CVH260" s="565"/>
      <c r="CVI260" s="565"/>
      <c r="CVJ260" s="565"/>
      <c r="CVK260" s="565"/>
      <c r="CVL260" s="565"/>
      <c r="CVM260" s="565"/>
      <c r="CVN260" s="565"/>
      <c r="CVO260" s="565"/>
      <c r="CVP260" s="565"/>
      <c r="CVQ260" s="565"/>
      <c r="CVR260" s="565"/>
      <c r="CVS260" s="565"/>
      <c r="CVT260" s="566"/>
      <c r="CVU260" s="565"/>
      <c r="CVV260" s="565"/>
      <c r="CVW260" s="565"/>
      <c r="CVX260" s="565"/>
      <c r="CVY260" s="565"/>
      <c r="CVZ260" s="565"/>
      <c r="CWA260" s="565"/>
      <c r="CWB260" s="565"/>
      <c r="CWC260" s="565"/>
      <c r="CWD260" s="565"/>
      <c r="CWE260" s="565"/>
      <c r="CWF260" s="565"/>
      <c r="CWG260" s="565"/>
      <c r="CWH260" s="565"/>
      <c r="CWI260" s="565"/>
      <c r="CWJ260" s="565"/>
      <c r="CWK260" s="565"/>
      <c r="CWL260" s="565"/>
      <c r="CWM260" s="565"/>
      <c r="CWN260" s="566"/>
      <c r="CWO260" s="565"/>
      <c r="CWP260" s="565"/>
      <c r="CWQ260" s="565"/>
      <c r="CWR260" s="565"/>
      <c r="CWS260" s="565"/>
      <c r="CWT260" s="565"/>
      <c r="CWU260" s="565"/>
      <c r="CWV260" s="565"/>
      <c r="CWW260" s="565"/>
      <c r="CWX260" s="565"/>
      <c r="CWY260" s="565"/>
      <c r="CWZ260" s="565"/>
      <c r="CXA260" s="565"/>
      <c r="CXB260" s="565"/>
      <c r="CXC260" s="565"/>
      <c r="CXD260" s="565"/>
      <c r="CXE260" s="565"/>
      <c r="CXF260" s="565"/>
      <c r="CXG260" s="565"/>
      <c r="CXH260" s="566"/>
      <c r="CXI260" s="565"/>
      <c r="CXJ260" s="565"/>
      <c r="CXK260" s="565"/>
      <c r="CXL260" s="565"/>
      <c r="CXM260" s="565"/>
      <c r="CXN260" s="565"/>
      <c r="CXO260" s="565"/>
      <c r="CXP260" s="565"/>
      <c r="CXQ260" s="565"/>
      <c r="CXR260" s="565"/>
      <c r="CXS260" s="565"/>
      <c r="CXT260" s="565"/>
      <c r="CXU260" s="565"/>
      <c r="CXV260" s="565"/>
      <c r="CXW260" s="565"/>
      <c r="CXX260" s="565"/>
      <c r="CXY260" s="565"/>
      <c r="CXZ260" s="565"/>
      <c r="CYA260" s="565"/>
      <c r="CYB260" s="566"/>
      <c r="CYC260" s="565"/>
      <c r="CYD260" s="565"/>
      <c r="CYE260" s="565"/>
      <c r="CYF260" s="565"/>
      <c r="CYG260" s="565"/>
      <c r="CYH260" s="565"/>
      <c r="CYI260" s="565"/>
      <c r="CYJ260" s="565"/>
      <c r="CYK260" s="565"/>
      <c r="CYL260" s="565"/>
      <c r="CYM260" s="565"/>
      <c r="CYN260" s="565"/>
      <c r="CYO260" s="565"/>
      <c r="CYP260" s="565"/>
      <c r="CYQ260" s="565"/>
      <c r="CYR260" s="565"/>
      <c r="CYS260" s="565"/>
      <c r="CYT260" s="565"/>
      <c r="CYU260" s="565"/>
      <c r="CYV260" s="566"/>
      <c r="CYW260" s="565"/>
      <c r="CYX260" s="565"/>
      <c r="CYY260" s="565"/>
      <c r="CYZ260" s="565"/>
      <c r="CZA260" s="565"/>
      <c r="CZB260" s="565"/>
      <c r="CZC260" s="565"/>
      <c r="CZD260" s="565"/>
      <c r="CZE260" s="565"/>
      <c r="CZF260" s="565"/>
      <c r="CZG260" s="565"/>
      <c r="CZH260" s="565"/>
      <c r="CZI260" s="565"/>
      <c r="CZJ260" s="565"/>
      <c r="CZK260" s="565"/>
      <c r="CZL260" s="565"/>
      <c r="CZM260" s="565"/>
      <c r="CZN260" s="565"/>
      <c r="CZO260" s="565"/>
      <c r="CZP260" s="566"/>
      <c r="CZQ260" s="565"/>
      <c r="CZR260" s="565"/>
      <c r="CZS260" s="565"/>
      <c r="CZT260" s="565"/>
      <c r="CZU260" s="565"/>
      <c r="CZV260" s="565"/>
      <c r="CZW260" s="565"/>
      <c r="CZX260" s="565"/>
      <c r="CZY260" s="565"/>
      <c r="CZZ260" s="565"/>
      <c r="DAA260" s="565"/>
      <c r="DAB260" s="565"/>
      <c r="DAC260" s="565"/>
      <c r="DAD260" s="565"/>
      <c r="DAE260" s="565"/>
      <c r="DAF260" s="565"/>
      <c r="DAG260" s="565"/>
      <c r="DAH260" s="565"/>
      <c r="DAI260" s="565"/>
      <c r="DAJ260" s="566"/>
      <c r="DAK260" s="565"/>
      <c r="DAL260" s="565"/>
      <c r="DAM260" s="565"/>
      <c r="DAN260" s="565"/>
      <c r="DAO260" s="565"/>
      <c r="DAP260" s="565"/>
      <c r="DAQ260" s="565"/>
      <c r="DAR260" s="565"/>
      <c r="DAS260" s="565"/>
      <c r="DAT260" s="565"/>
      <c r="DAU260" s="565"/>
      <c r="DAV260" s="565"/>
      <c r="DAW260" s="565"/>
      <c r="DAX260" s="565"/>
      <c r="DAY260" s="565"/>
      <c r="DAZ260" s="565"/>
      <c r="DBA260" s="565"/>
      <c r="DBB260" s="565"/>
      <c r="DBC260" s="565"/>
      <c r="DBD260" s="566"/>
      <c r="DBE260" s="565"/>
      <c r="DBF260" s="565"/>
      <c r="DBG260" s="565"/>
      <c r="DBH260" s="565"/>
      <c r="DBI260" s="565"/>
      <c r="DBJ260" s="565"/>
      <c r="DBK260" s="565"/>
      <c r="DBL260" s="565"/>
      <c r="DBM260" s="565"/>
      <c r="DBN260" s="565"/>
      <c r="DBO260" s="565"/>
      <c r="DBP260" s="565"/>
      <c r="DBQ260" s="565"/>
      <c r="DBR260" s="565"/>
      <c r="DBS260" s="565"/>
      <c r="DBT260" s="565"/>
      <c r="DBU260" s="565"/>
      <c r="DBV260" s="565"/>
      <c r="DBW260" s="565"/>
      <c r="DBX260" s="566"/>
      <c r="DBY260" s="565"/>
      <c r="DBZ260" s="565"/>
      <c r="DCA260" s="565"/>
      <c r="DCB260" s="565"/>
      <c r="DCC260" s="565"/>
      <c r="DCD260" s="565"/>
      <c r="DCE260" s="565"/>
      <c r="DCF260" s="565"/>
      <c r="DCG260" s="565"/>
      <c r="DCH260" s="565"/>
      <c r="DCI260" s="565"/>
      <c r="DCJ260" s="565"/>
      <c r="DCK260" s="565"/>
      <c r="DCL260" s="565"/>
      <c r="DCM260" s="565"/>
      <c r="DCN260" s="565"/>
      <c r="DCO260" s="565"/>
      <c r="DCP260" s="565"/>
      <c r="DCQ260" s="565"/>
      <c r="DCR260" s="566"/>
      <c r="DCS260" s="565"/>
      <c r="DCT260" s="565"/>
      <c r="DCU260" s="565"/>
      <c r="DCV260" s="565"/>
      <c r="DCW260" s="565"/>
      <c r="DCX260" s="565"/>
      <c r="DCY260" s="565"/>
      <c r="DCZ260" s="565"/>
      <c r="DDA260" s="565"/>
      <c r="DDB260" s="565"/>
      <c r="DDC260" s="565"/>
      <c r="DDD260" s="565"/>
      <c r="DDE260" s="565"/>
      <c r="DDF260" s="565"/>
      <c r="DDG260" s="565"/>
      <c r="DDH260" s="565"/>
      <c r="DDI260" s="565"/>
      <c r="DDJ260" s="565"/>
      <c r="DDK260" s="565"/>
      <c r="DDL260" s="566"/>
      <c r="DDM260" s="565"/>
      <c r="DDN260" s="565"/>
      <c r="DDO260" s="565"/>
      <c r="DDP260" s="565"/>
      <c r="DDQ260" s="565"/>
      <c r="DDR260" s="565"/>
      <c r="DDS260" s="565"/>
      <c r="DDT260" s="565"/>
      <c r="DDU260" s="565"/>
      <c r="DDV260" s="565"/>
      <c r="DDW260" s="565"/>
      <c r="DDX260" s="565"/>
      <c r="DDY260" s="565"/>
      <c r="DDZ260" s="565"/>
      <c r="DEA260" s="565"/>
      <c r="DEB260" s="565"/>
      <c r="DEC260" s="565"/>
      <c r="DED260" s="565"/>
      <c r="DEE260" s="565"/>
      <c r="DEF260" s="566"/>
      <c r="DEG260" s="565"/>
      <c r="DEH260" s="565"/>
      <c r="DEI260" s="565"/>
      <c r="DEJ260" s="565"/>
      <c r="DEK260" s="565"/>
      <c r="DEL260" s="565"/>
      <c r="DEM260" s="565"/>
      <c r="DEN260" s="565"/>
      <c r="DEO260" s="565"/>
      <c r="DEP260" s="565"/>
      <c r="DEQ260" s="565"/>
      <c r="DER260" s="565"/>
      <c r="DES260" s="565"/>
      <c r="DET260" s="565"/>
      <c r="DEU260" s="565"/>
      <c r="DEV260" s="565"/>
      <c r="DEW260" s="565"/>
      <c r="DEX260" s="565"/>
      <c r="DEY260" s="565"/>
      <c r="DEZ260" s="566"/>
      <c r="DFA260" s="565"/>
      <c r="DFB260" s="565"/>
      <c r="DFC260" s="565"/>
      <c r="DFD260" s="565"/>
      <c r="DFE260" s="565"/>
      <c r="DFF260" s="565"/>
      <c r="DFG260" s="565"/>
      <c r="DFH260" s="565"/>
      <c r="DFI260" s="565"/>
      <c r="DFJ260" s="565"/>
      <c r="DFK260" s="565"/>
      <c r="DFL260" s="565"/>
      <c r="DFM260" s="565"/>
      <c r="DFN260" s="565"/>
      <c r="DFO260" s="565"/>
      <c r="DFP260" s="565"/>
      <c r="DFQ260" s="565"/>
      <c r="DFR260" s="565"/>
      <c r="DFS260" s="565"/>
      <c r="DFT260" s="566"/>
      <c r="DFU260" s="565"/>
      <c r="DFV260" s="565"/>
      <c r="DFW260" s="565"/>
      <c r="DFX260" s="565"/>
      <c r="DFY260" s="565"/>
      <c r="DFZ260" s="565"/>
      <c r="DGA260" s="565"/>
      <c r="DGB260" s="565"/>
      <c r="DGC260" s="565"/>
      <c r="DGD260" s="565"/>
      <c r="DGE260" s="565"/>
      <c r="DGF260" s="565"/>
      <c r="DGG260" s="565"/>
      <c r="DGH260" s="565"/>
      <c r="DGI260" s="565"/>
      <c r="DGJ260" s="565"/>
      <c r="DGK260" s="565"/>
      <c r="DGL260" s="565"/>
      <c r="DGM260" s="565"/>
      <c r="DGN260" s="566"/>
      <c r="DGO260" s="565"/>
      <c r="DGP260" s="565"/>
      <c r="DGQ260" s="565"/>
      <c r="DGR260" s="565"/>
      <c r="DGS260" s="565"/>
      <c r="DGT260" s="565"/>
      <c r="DGU260" s="565"/>
      <c r="DGV260" s="565"/>
      <c r="DGW260" s="565"/>
      <c r="DGX260" s="565"/>
      <c r="DGY260" s="565"/>
      <c r="DGZ260" s="565"/>
      <c r="DHA260" s="565"/>
      <c r="DHB260" s="565"/>
      <c r="DHC260" s="565"/>
      <c r="DHD260" s="565"/>
      <c r="DHE260" s="565"/>
      <c r="DHF260" s="565"/>
      <c r="DHG260" s="565"/>
      <c r="DHH260" s="566"/>
      <c r="DHI260" s="565"/>
      <c r="DHJ260" s="565"/>
      <c r="DHK260" s="565"/>
      <c r="DHL260" s="565"/>
      <c r="DHM260" s="565"/>
      <c r="DHN260" s="565"/>
      <c r="DHO260" s="565"/>
      <c r="DHP260" s="565"/>
      <c r="DHQ260" s="565"/>
      <c r="DHR260" s="565"/>
      <c r="DHS260" s="565"/>
      <c r="DHT260" s="565"/>
      <c r="DHU260" s="565"/>
      <c r="DHV260" s="565"/>
      <c r="DHW260" s="565"/>
      <c r="DHX260" s="565"/>
      <c r="DHY260" s="565"/>
      <c r="DHZ260" s="565"/>
      <c r="DIA260" s="565"/>
      <c r="DIB260" s="566"/>
      <c r="DIC260" s="565"/>
      <c r="DID260" s="565"/>
      <c r="DIE260" s="565"/>
      <c r="DIF260" s="565"/>
      <c r="DIG260" s="565"/>
      <c r="DIH260" s="565"/>
      <c r="DII260" s="565"/>
      <c r="DIJ260" s="565"/>
      <c r="DIK260" s="565"/>
      <c r="DIL260" s="565"/>
      <c r="DIM260" s="565"/>
      <c r="DIN260" s="565"/>
      <c r="DIO260" s="565"/>
      <c r="DIP260" s="565"/>
      <c r="DIQ260" s="565"/>
      <c r="DIR260" s="565"/>
      <c r="DIS260" s="565"/>
      <c r="DIT260" s="565"/>
      <c r="DIU260" s="565"/>
      <c r="DIV260" s="566"/>
      <c r="DIW260" s="565"/>
      <c r="DIX260" s="565"/>
      <c r="DIY260" s="565"/>
      <c r="DIZ260" s="565"/>
      <c r="DJA260" s="565"/>
      <c r="DJB260" s="565"/>
      <c r="DJC260" s="565"/>
      <c r="DJD260" s="565"/>
      <c r="DJE260" s="565"/>
      <c r="DJF260" s="565"/>
      <c r="DJG260" s="565"/>
      <c r="DJH260" s="565"/>
      <c r="DJI260" s="565"/>
      <c r="DJJ260" s="565"/>
      <c r="DJK260" s="565"/>
      <c r="DJL260" s="565"/>
      <c r="DJM260" s="565"/>
      <c r="DJN260" s="565"/>
      <c r="DJO260" s="565"/>
      <c r="DJP260" s="566"/>
      <c r="DJQ260" s="565"/>
      <c r="DJR260" s="565"/>
      <c r="DJS260" s="565"/>
      <c r="DJT260" s="565"/>
      <c r="DJU260" s="565"/>
      <c r="DJV260" s="565"/>
      <c r="DJW260" s="565"/>
      <c r="DJX260" s="565"/>
      <c r="DJY260" s="565"/>
      <c r="DJZ260" s="565"/>
      <c r="DKA260" s="565"/>
      <c r="DKB260" s="565"/>
      <c r="DKC260" s="565"/>
      <c r="DKD260" s="565"/>
      <c r="DKE260" s="565"/>
      <c r="DKF260" s="565"/>
      <c r="DKG260" s="565"/>
      <c r="DKH260" s="565"/>
      <c r="DKI260" s="565"/>
      <c r="DKJ260" s="566"/>
      <c r="DKK260" s="565"/>
      <c r="DKL260" s="565"/>
      <c r="DKM260" s="565"/>
      <c r="DKN260" s="565"/>
      <c r="DKO260" s="565"/>
      <c r="DKP260" s="565"/>
      <c r="DKQ260" s="565"/>
      <c r="DKR260" s="565"/>
      <c r="DKS260" s="565"/>
      <c r="DKT260" s="565"/>
      <c r="DKU260" s="565"/>
      <c r="DKV260" s="565"/>
      <c r="DKW260" s="565"/>
      <c r="DKX260" s="565"/>
      <c r="DKY260" s="565"/>
      <c r="DKZ260" s="565"/>
      <c r="DLA260" s="565"/>
      <c r="DLB260" s="565"/>
      <c r="DLC260" s="565"/>
      <c r="DLD260" s="566"/>
      <c r="DLE260" s="565"/>
      <c r="DLF260" s="565"/>
      <c r="DLG260" s="565"/>
      <c r="DLH260" s="565"/>
      <c r="DLI260" s="565"/>
      <c r="DLJ260" s="565"/>
      <c r="DLK260" s="565"/>
      <c r="DLL260" s="565"/>
      <c r="DLM260" s="565"/>
      <c r="DLN260" s="565"/>
      <c r="DLO260" s="565"/>
      <c r="DLP260" s="565"/>
      <c r="DLQ260" s="565"/>
      <c r="DLR260" s="565"/>
      <c r="DLS260" s="565"/>
      <c r="DLT260" s="565"/>
      <c r="DLU260" s="565"/>
      <c r="DLV260" s="565"/>
      <c r="DLW260" s="565"/>
      <c r="DLX260" s="566"/>
      <c r="DLY260" s="565"/>
      <c r="DLZ260" s="565"/>
      <c r="DMA260" s="565"/>
      <c r="DMB260" s="565"/>
      <c r="DMC260" s="565"/>
      <c r="DMD260" s="565"/>
      <c r="DME260" s="565"/>
      <c r="DMF260" s="565"/>
      <c r="DMG260" s="565"/>
      <c r="DMH260" s="565"/>
      <c r="DMI260" s="565"/>
      <c r="DMJ260" s="565"/>
      <c r="DMK260" s="565"/>
      <c r="DML260" s="565"/>
      <c r="DMM260" s="565"/>
      <c r="DMN260" s="565"/>
      <c r="DMO260" s="565"/>
      <c r="DMP260" s="565"/>
      <c r="DMQ260" s="565"/>
      <c r="DMR260" s="566"/>
      <c r="DMS260" s="565"/>
      <c r="DMT260" s="565"/>
      <c r="DMU260" s="565"/>
      <c r="DMV260" s="565"/>
      <c r="DMW260" s="565"/>
      <c r="DMX260" s="565"/>
      <c r="DMY260" s="565"/>
      <c r="DMZ260" s="565"/>
      <c r="DNA260" s="565"/>
      <c r="DNB260" s="565"/>
      <c r="DNC260" s="565"/>
      <c r="DND260" s="565"/>
      <c r="DNE260" s="565"/>
      <c r="DNF260" s="565"/>
      <c r="DNG260" s="565"/>
      <c r="DNH260" s="565"/>
      <c r="DNI260" s="565"/>
      <c r="DNJ260" s="565"/>
      <c r="DNK260" s="565"/>
      <c r="DNL260" s="566"/>
      <c r="DNM260" s="565"/>
      <c r="DNN260" s="565"/>
      <c r="DNO260" s="565"/>
      <c r="DNP260" s="565"/>
      <c r="DNQ260" s="565"/>
      <c r="DNR260" s="565"/>
      <c r="DNS260" s="565"/>
      <c r="DNT260" s="565"/>
      <c r="DNU260" s="565"/>
      <c r="DNV260" s="565"/>
      <c r="DNW260" s="565"/>
      <c r="DNX260" s="565"/>
      <c r="DNY260" s="565"/>
      <c r="DNZ260" s="565"/>
      <c r="DOA260" s="565"/>
      <c r="DOB260" s="565"/>
      <c r="DOC260" s="565"/>
      <c r="DOD260" s="565"/>
      <c r="DOE260" s="565"/>
      <c r="DOF260" s="566"/>
      <c r="DOG260" s="565"/>
      <c r="DOH260" s="565"/>
      <c r="DOI260" s="565"/>
      <c r="DOJ260" s="565"/>
      <c r="DOK260" s="565"/>
      <c r="DOL260" s="565"/>
      <c r="DOM260" s="565"/>
      <c r="DON260" s="565"/>
      <c r="DOO260" s="565"/>
      <c r="DOP260" s="565"/>
      <c r="DOQ260" s="565"/>
      <c r="DOR260" s="565"/>
      <c r="DOS260" s="565"/>
      <c r="DOT260" s="565"/>
      <c r="DOU260" s="565"/>
      <c r="DOV260" s="565"/>
      <c r="DOW260" s="565"/>
      <c r="DOX260" s="565"/>
      <c r="DOY260" s="565"/>
      <c r="DOZ260" s="566"/>
      <c r="DPA260" s="565"/>
      <c r="DPB260" s="565"/>
      <c r="DPC260" s="565"/>
      <c r="DPD260" s="565"/>
      <c r="DPE260" s="565"/>
      <c r="DPF260" s="565"/>
      <c r="DPG260" s="565"/>
      <c r="DPH260" s="565"/>
      <c r="DPI260" s="565"/>
      <c r="DPJ260" s="565"/>
      <c r="DPK260" s="565"/>
      <c r="DPL260" s="565"/>
      <c r="DPM260" s="565"/>
      <c r="DPN260" s="565"/>
      <c r="DPO260" s="565"/>
      <c r="DPP260" s="565"/>
      <c r="DPQ260" s="565"/>
      <c r="DPR260" s="565"/>
      <c r="DPS260" s="565"/>
      <c r="DPT260" s="566"/>
      <c r="DPU260" s="565"/>
      <c r="DPV260" s="565"/>
      <c r="DPW260" s="565"/>
      <c r="DPX260" s="565"/>
      <c r="DPY260" s="565"/>
      <c r="DPZ260" s="565"/>
      <c r="DQA260" s="565"/>
      <c r="DQB260" s="565"/>
      <c r="DQC260" s="565"/>
      <c r="DQD260" s="565"/>
      <c r="DQE260" s="565"/>
      <c r="DQF260" s="565"/>
      <c r="DQG260" s="565"/>
      <c r="DQH260" s="565"/>
      <c r="DQI260" s="565"/>
      <c r="DQJ260" s="565"/>
      <c r="DQK260" s="565"/>
      <c r="DQL260" s="565"/>
      <c r="DQM260" s="565"/>
      <c r="DQN260" s="566"/>
      <c r="DQO260" s="565"/>
      <c r="DQP260" s="565"/>
      <c r="DQQ260" s="565"/>
      <c r="DQR260" s="565"/>
      <c r="DQS260" s="565"/>
      <c r="DQT260" s="565"/>
      <c r="DQU260" s="565"/>
      <c r="DQV260" s="565"/>
      <c r="DQW260" s="565"/>
      <c r="DQX260" s="565"/>
      <c r="DQY260" s="565"/>
      <c r="DQZ260" s="565"/>
      <c r="DRA260" s="565"/>
      <c r="DRB260" s="565"/>
      <c r="DRC260" s="565"/>
      <c r="DRD260" s="565"/>
      <c r="DRE260" s="565"/>
      <c r="DRF260" s="565"/>
      <c r="DRG260" s="565"/>
      <c r="DRH260" s="566"/>
      <c r="DRI260" s="565"/>
      <c r="DRJ260" s="565"/>
      <c r="DRK260" s="565"/>
      <c r="DRL260" s="565"/>
      <c r="DRM260" s="565"/>
      <c r="DRN260" s="565"/>
      <c r="DRO260" s="565"/>
      <c r="DRP260" s="565"/>
      <c r="DRQ260" s="565"/>
      <c r="DRR260" s="565"/>
      <c r="DRS260" s="565"/>
      <c r="DRT260" s="565"/>
      <c r="DRU260" s="565"/>
      <c r="DRV260" s="565"/>
      <c r="DRW260" s="565"/>
      <c r="DRX260" s="565"/>
      <c r="DRY260" s="565"/>
      <c r="DRZ260" s="565"/>
      <c r="DSA260" s="565"/>
      <c r="DSB260" s="566"/>
      <c r="DSC260" s="565"/>
      <c r="DSD260" s="565"/>
      <c r="DSE260" s="565"/>
      <c r="DSF260" s="565"/>
      <c r="DSG260" s="565"/>
      <c r="DSH260" s="565"/>
      <c r="DSI260" s="565"/>
      <c r="DSJ260" s="565"/>
      <c r="DSK260" s="565"/>
      <c r="DSL260" s="565"/>
      <c r="DSM260" s="565"/>
      <c r="DSN260" s="565"/>
      <c r="DSO260" s="565"/>
      <c r="DSP260" s="565"/>
      <c r="DSQ260" s="565"/>
      <c r="DSR260" s="565"/>
      <c r="DSS260" s="565"/>
      <c r="DST260" s="565"/>
      <c r="DSU260" s="565"/>
      <c r="DSV260" s="566"/>
      <c r="DSW260" s="565"/>
      <c r="DSX260" s="565"/>
      <c r="DSY260" s="565"/>
      <c r="DSZ260" s="565"/>
      <c r="DTA260" s="565"/>
      <c r="DTB260" s="565"/>
      <c r="DTC260" s="565"/>
      <c r="DTD260" s="565"/>
      <c r="DTE260" s="565"/>
      <c r="DTF260" s="565"/>
      <c r="DTG260" s="565"/>
      <c r="DTH260" s="565"/>
      <c r="DTI260" s="565"/>
      <c r="DTJ260" s="565"/>
      <c r="DTK260" s="565"/>
      <c r="DTL260" s="565"/>
      <c r="DTM260" s="565"/>
      <c r="DTN260" s="565"/>
      <c r="DTO260" s="565"/>
      <c r="DTP260" s="566"/>
      <c r="DTQ260" s="565"/>
      <c r="DTR260" s="565"/>
      <c r="DTS260" s="565"/>
      <c r="DTT260" s="565"/>
      <c r="DTU260" s="565"/>
      <c r="DTV260" s="565"/>
      <c r="DTW260" s="565"/>
      <c r="DTX260" s="565"/>
      <c r="DTY260" s="565"/>
      <c r="DTZ260" s="565"/>
      <c r="DUA260" s="565"/>
      <c r="DUB260" s="565"/>
      <c r="DUC260" s="565"/>
      <c r="DUD260" s="565"/>
      <c r="DUE260" s="565"/>
      <c r="DUF260" s="565"/>
      <c r="DUG260" s="565"/>
      <c r="DUH260" s="565"/>
      <c r="DUI260" s="565"/>
      <c r="DUJ260" s="566"/>
      <c r="DUK260" s="565"/>
      <c r="DUL260" s="565"/>
      <c r="DUM260" s="565"/>
      <c r="DUN260" s="565"/>
      <c r="DUO260" s="565"/>
      <c r="DUP260" s="565"/>
      <c r="DUQ260" s="565"/>
      <c r="DUR260" s="565"/>
      <c r="DUS260" s="565"/>
      <c r="DUT260" s="565"/>
      <c r="DUU260" s="565"/>
      <c r="DUV260" s="565"/>
      <c r="DUW260" s="565"/>
      <c r="DUX260" s="565"/>
      <c r="DUY260" s="565"/>
      <c r="DUZ260" s="565"/>
      <c r="DVA260" s="565"/>
      <c r="DVB260" s="565"/>
      <c r="DVC260" s="565"/>
      <c r="DVD260" s="566"/>
      <c r="DVE260" s="565"/>
      <c r="DVF260" s="565"/>
      <c r="DVG260" s="565"/>
      <c r="DVH260" s="565"/>
      <c r="DVI260" s="565"/>
      <c r="DVJ260" s="565"/>
      <c r="DVK260" s="565"/>
      <c r="DVL260" s="565"/>
      <c r="DVM260" s="565"/>
      <c r="DVN260" s="565"/>
      <c r="DVO260" s="565"/>
      <c r="DVP260" s="565"/>
      <c r="DVQ260" s="565"/>
      <c r="DVR260" s="565"/>
      <c r="DVS260" s="565"/>
      <c r="DVT260" s="565"/>
      <c r="DVU260" s="565"/>
      <c r="DVV260" s="565"/>
      <c r="DVW260" s="565"/>
      <c r="DVX260" s="566"/>
      <c r="DVY260" s="565"/>
      <c r="DVZ260" s="565"/>
      <c r="DWA260" s="565"/>
      <c r="DWB260" s="565"/>
      <c r="DWC260" s="565"/>
      <c r="DWD260" s="565"/>
      <c r="DWE260" s="565"/>
      <c r="DWF260" s="565"/>
      <c r="DWG260" s="565"/>
      <c r="DWH260" s="565"/>
      <c r="DWI260" s="565"/>
      <c r="DWJ260" s="565"/>
      <c r="DWK260" s="565"/>
      <c r="DWL260" s="565"/>
      <c r="DWM260" s="565"/>
      <c r="DWN260" s="565"/>
      <c r="DWO260" s="565"/>
      <c r="DWP260" s="565"/>
      <c r="DWQ260" s="565"/>
      <c r="DWR260" s="566"/>
      <c r="DWS260" s="565"/>
      <c r="DWT260" s="565"/>
      <c r="DWU260" s="565"/>
      <c r="DWV260" s="565"/>
      <c r="DWW260" s="565"/>
      <c r="DWX260" s="565"/>
      <c r="DWY260" s="565"/>
      <c r="DWZ260" s="565"/>
      <c r="DXA260" s="565"/>
      <c r="DXB260" s="565"/>
      <c r="DXC260" s="565"/>
      <c r="DXD260" s="565"/>
      <c r="DXE260" s="565"/>
      <c r="DXF260" s="565"/>
      <c r="DXG260" s="565"/>
      <c r="DXH260" s="565"/>
      <c r="DXI260" s="565"/>
      <c r="DXJ260" s="565"/>
      <c r="DXK260" s="565"/>
      <c r="DXL260" s="566"/>
      <c r="DXM260" s="565"/>
      <c r="DXN260" s="565"/>
      <c r="DXO260" s="565"/>
      <c r="DXP260" s="565"/>
      <c r="DXQ260" s="565"/>
      <c r="DXR260" s="565"/>
      <c r="DXS260" s="565"/>
      <c r="DXT260" s="565"/>
      <c r="DXU260" s="565"/>
      <c r="DXV260" s="565"/>
      <c r="DXW260" s="565"/>
      <c r="DXX260" s="565"/>
      <c r="DXY260" s="565"/>
      <c r="DXZ260" s="565"/>
      <c r="DYA260" s="565"/>
      <c r="DYB260" s="565"/>
      <c r="DYC260" s="565"/>
      <c r="DYD260" s="565"/>
      <c r="DYE260" s="565"/>
      <c r="DYF260" s="566"/>
      <c r="DYG260" s="565"/>
      <c r="DYH260" s="565"/>
      <c r="DYI260" s="565"/>
      <c r="DYJ260" s="565"/>
      <c r="DYK260" s="565"/>
      <c r="DYL260" s="565"/>
      <c r="DYM260" s="565"/>
      <c r="DYN260" s="565"/>
      <c r="DYO260" s="565"/>
      <c r="DYP260" s="565"/>
      <c r="DYQ260" s="565"/>
      <c r="DYR260" s="565"/>
      <c r="DYS260" s="565"/>
      <c r="DYT260" s="565"/>
      <c r="DYU260" s="565"/>
      <c r="DYV260" s="565"/>
      <c r="DYW260" s="565"/>
      <c r="DYX260" s="565"/>
      <c r="DYY260" s="565"/>
      <c r="DYZ260" s="566"/>
      <c r="DZA260" s="565"/>
      <c r="DZB260" s="565"/>
      <c r="DZC260" s="565"/>
      <c r="DZD260" s="565"/>
      <c r="DZE260" s="565"/>
      <c r="DZF260" s="565"/>
      <c r="DZG260" s="565"/>
      <c r="DZH260" s="565"/>
      <c r="DZI260" s="565"/>
      <c r="DZJ260" s="565"/>
      <c r="DZK260" s="565"/>
      <c r="DZL260" s="565"/>
      <c r="DZM260" s="565"/>
      <c r="DZN260" s="565"/>
      <c r="DZO260" s="565"/>
      <c r="DZP260" s="565"/>
      <c r="DZQ260" s="565"/>
      <c r="DZR260" s="565"/>
      <c r="DZS260" s="565"/>
      <c r="DZT260" s="566"/>
      <c r="DZU260" s="565"/>
      <c r="DZV260" s="565"/>
      <c r="DZW260" s="565"/>
      <c r="DZX260" s="565"/>
      <c r="DZY260" s="565"/>
      <c r="DZZ260" s="565"/>
      <c r="EAA260" s="565"/>
      <c r="EAB260" s="565"/>
      <c r="EAC260" s="565"/>
      <c r="EAD260" s="565"/>
      <c r="EAE260" s="565"/>
      <c r="EAF260" s="565"/>
      <c r="EAG260" s="565"/>
      <c r="EAH260" s="565"/>
      <c r="EAI260" s="565"/>
      <c r="EAJ260" s="565"/>
      <c r="EAK260" s="565"/>
      <c r="EAL260" s="565"/>
      <c r="EAM260" s="565"/>
      <c r="EAN260" s="566"/>
      <c r="EAO260" s="565"/>
      <c r="EAP260" s="565"/>
      <c r="EAQ260" s="565"/>
      <c r="EAR260" s="565"/>
      <c r="EAS260" s="565"/>
      <c r="EAT260" s="565"/>
      <c r="EAU260" s="565"/>
      <c r="EAV260" s="565"/>
      <c r="EAW260" s="565"/>
      <c r="EAX260" s="565"/>
      <c r="EAY260" s="565"/>
      <c r="EAZ260" s="565"/>
      <c r="EBA260" s="565"/>
      <c r="EBB260" s="565"/>
      <c r="EBC260" s="565"/>
      <c r="EBD260" s="565"/>
      <c r="EBE260" s="565"/>
      <c r="EBF260" s="565"/>
      <c r="EBG260" s="565"/>
      <c r="EBH260" s="566"/>
      <c r="EBI260" s="565"/>
      <c r="EBJ260" s="565"/>
      <c r="EBK260" s="565"/>
      <c r="EBL260" s="565"/>
      <c r="EBM260" s="565"/>
      <c r="EBN260" s="565"/>
      <c r="EBO260" s="565"/>
      <c r="EBP260" s="565"/>
      <c r="EBQ260" s="565"/>
      <c r="EBR260" s="565"/>
      <c r="EBS260" s="565"/>
      <c r="EBT260" s="565"/>
      <c r="EBU260" s="565"/>
      <c r="EBV260" s="565"/>
      <c r="EBW260" s="565"/>
      <c r="EBX260" s="565"/>
      <c r="EBY260" s="565"/>
      <c r="EBZ260" s="565"/>
      <c r="ECA260" s="565"/>
      <c r="ECB260" s="566"/>
      <c r="ECC260" s="565"/>
      <c r="ECD260" s="565"/>
      <c r="ECE260" s="565"/>
      <c r="ECF260" s="565"/>
      <c r="ECG260" s="565"/>
      <c r="ECH260" s="565"/>
      <c r="ECI260" s="565"/>
      <c r="ECJ260" s="565"/>
      <c r="ECK260" s="565"/>
      <c r="ECL260" s="565"/>
      <c r="ECM260" s="565"/>
      <c r="ECN260" s="565"/>
      <c r="ECO260" s="565"/>
      <c r="ECP260" s="565"/>
      <c r="ECQ260" s="565"/>
      <c r="ECR260" s="565"/>
      <c r="ECS260" s="565"/>
      <c r="ECT260" s="565"/>
      <c r="ECU260" s="565"/>
      <c r="ECV260" s="566"/>
      <c r="ECW260" s="565"/>
      <c r="ECX260" s="565"/>
      <c r="ECY260" s="565"/>
      <c r="ECZ260" s="565"/>
      <c r="EDA260" s="565"/>
      <c r="EDB260" s="565"/>
      <c r="EDC260" s="565"/>
      <c r="EDD260" s="565"/>
      <c r="EDE260" s="565"/>
      <c r="EDF260" s="565"/>
      <c r="EDG260" s="565"/>
      <c r="EDH260" s="565"/>
      <c r="EDI260" s="565"/>
      <c r="EDJ260" s="565"/>
      <c r="EDK260" s="565"/>
      <c r="EDL260" s="565"/>
      <c r="EDM260" s="565"/>
      <c r="EDN260" s="565"/>
      <c r="EDO260" s="565"/>
      <c r="EDP260" s="566"/>
      <c r="EDQ260" s="565"/>
      <c r="EDR260" s="565"/>
      <c r="EDS260" s="565"/>
      <c r="EDT260" s="565"/>
      <c r="EDU260" s="565"/>
      <c r="EDV260" s="565"/>
      <c r="EDW260" s="565"/>
      <c r="EDX260" s="565"/>
      <c r="EDY260" s="565"/>
      <c r="EDZ260" s="565"/>
      <c r="EEA260" s="565"/>
      <c r="EEB260" s="565"/>
      <c r="EEC260" s="565"/>
      <c r="EED260" s="565"/>
      <c r="EEE260" s="565"/>
      <c r="EEF260" s="565"/>
      <c r="EEG260" s="565"/>
      <c r="EEH260" s="565"/>
      <c r="EEI260" s="565"/>
      <c r="EEJ260" s="566"/>
      <c r="EEK260" s="565"/>
      <c r="EEL260" s="565"/>
      <c r="EEM260" s="565"/>
      <c r="EEN260" s="565"/>
      <c r="EEO260" s="565"/>
      <c r="EEP260" s="565"/>
      <c r="EEQ260" s="565"/>
      <c r="EER260" s="565"/>
      <c r="EES260" s="565"/>
      <c r="EET260" s="565"/>
      <c r="EEU260" s="565"/>
      <c r="EEV260" s="565"/>
      <c r="EEW260" s="565"/>
      <c r="EEX260" s="565"/>
      <c r="EEY260" s="565"/>
      <c r="EEZ260" s="565"/>
      <c r="EFA260" s="565"/>
      <c r="EFB260" s="565"/>
      <c r="EFC260" s="565"/>
      <c r="EFD260" s="566"/>
      <c r="EFE260" s="565"/>
      <c r="EFF260" s="565"/>
      <c r="EFG260" s="565"/>
      <c r="EFH260" s="565"/>
      <c r="EFI260" s="565"/>
      <c r="EFJ260" s="565"/>
      <c r="EFK260" s="565"/>
      <c r="EFL260" s="565"/>
      <c r="EFM260" s="565"/>
      <c r="EFN260" s="565"/>
      <c r="EFO260" s="565"/>
      <c r="EFP260" s="565"/>
      <c r="EFQ260" s="565"/>
      <c r="EFR260" s="565"/>
      <c r="EFS260" s="565"/>
      <c r="EFT260" s="565"/>
      <c r="EFU260" s="565"/>
      <c r="EFV260" s="565"/>
      <c r="EFW260" s="565"/>
      <c r="EFX260" s="566"/>
      <c r="EFY260" s="565"/>
      <c r="EFZ260" s="565"/>
      <c r="EGA260" s="565"/>
      <c r="EGB260" s="565"/>
      <c r="EGC260" s="565"/>
      <c r="EGD260" s="565"/>
      <c r="EGE260" s="565"/>
      <c r="EGF260" s="565"/>
      <c r="EGG260" s="565"/>
      <c r="EGH260" s="565"/>
      <c r="EGI260" s="565"/>
      <c r="EGJ260" s="565"/>
      <c r="EGK260" s="565"/>
      <c r="EGL260" s="565"/>
      <c r="EGM260" s="565"/>
      <c r="EGN260" s="565"/>
      <c r="EGO260" s="565"/>
      <c r="EGP260" s="565"/>
      <c r="EGQ260" s="565"/>
      <c r="EGR260" s="566"/>
      <c r="EGS260" s="565"/>
      <c r="EGT260" s="565"/>
      <c r="EGU260" s="565"/>
      <c r="EGV260" s="565"/>
      <c r="EGW260" s="565"/>
      <c r="EGX260" s="565"/>
      <c r="EGY260" s="565"/>
      <c r="EGZ260" s="565"/>
      <c r="EHA260" s="565"/>
      <c r="EHB260" s="565"/>
      <c r="EHC260" s="565"/>
      <c r="EHD260" s="565"/>
      <c r="EHE260" s="565"/>
      <c r="EHF260" s="565"/>
      <c r="EHG260" s="565"/>
      <c r="EHH260" s="565"/>
      <c r="EHI260" s="565"/>
      <c r="EHJ260" s="565"/>
      <c r="EHK260" s="565"/>
      <c r="EHL260" s="566"/>
      <c r="EHM260" s="565"/>
      <c r="EHN260" s="565"/>
      <c r="EHO260" s="565"/>
      <c r="EHP260" s="565"/>
      <c r="EHQ260" s="565"/>
      <c r="EHR260" s="565"/>
      <c r="EHS260" s="565"/>
      <c r="EHT260" s="565"/>
      <c r="EHU260" s="565"/>
      <c r="EHV260" s="565"/>
      <c r="EHW260" s="565"/>
      <c r="EHX260" s="565"/>
      <c r="EHY260" s="565"/>
      <c r="EHZ260" s="565"/>
      <c r="EIA260" s="565"/>
      <c r="EIB260" s="565"/>
      <c r="EIC260" s="565"/>
      <c r="EID260" s="565"/>
      <c r="EIE260" s="565"/>
      <c r="EIF260" s="566"/>
      <c r="EIG260" s="565"/>
      <c r="EIH260" s="565"/>
      <c r="EII260" s="565"/>
      <c r="EIJ260" s="565"/>
      <c r="EIK260" s="565"/>
      <c r="EIL260" s="565"/>
      <c r="EIM260" s="565"/>
      <c r="EIN260" s="565"/>
      <c r="EIO260" s="565"/>
      <c r="EIP260" s="565"/>
      <c r="EIQ260" s="565"/>
      <c r="EIR260" s="565"/>
      <c r="EIS260" s="565"/>
      <c r="EIT260" s="565"/>
      <c r="EIU260" s="565"/>
      <c r="EIV260" s="565"/>
      <c r="EIW260" s="565"/>
      <c r="EIX260" s="565"/>
      <c r="EIY260" s="565"/>
      <c r="EIZ260" s="566"/>
      <c r="EJA260" s="565"/>
      <c r="EJB260" s="565"/>
      <c r="EJC260" s="565"/>
      <c r="EJD260" s="565"/>
      <c r="EJE260" s="565"/>
      <c r="EJF260" s="565"/>
      <c r="EJG260" s="565"/>
      <c r="EJH260" s="565"/>
      <c r="EJI260" s="565"/>
      <c r="EJJ260" s="565"/>
      <c r="EJK260" s="565"/>
      <c r="EJL260" s="565"/>
      <c r="EJM260" s="565"/>
      <c r="EJN260" s="565"/>
      <c r="EJO260" s="565"/>
      <c r="EJP260" s="565"/>
      <c r="EJQ260" s="565"/>
      <c r="EJR260" s="565"/>
      <c r="EJS260" s="565"/>
      <c r="EJT260" s="566"/>
      <c r="EJU260" s="565"/>
      <c r="EJV260" s="565"/>
      <c r="EJW260" s="565"/>
      <c r="EJX260" s="565"/>
      <c r="EJY260" s="565"/>
      <c r="EJZ260" s="565"/>
      <c r="EKA260" s="565"/>
      <c r="EKB260" s="565"/>
      <c r="EKC260" s="565"/>
      <c r="EKD260" s="565"/>
      <c r="EKE260" s="565"/>
      <c r="EKF260" s="565"/>
      <c r="EKG260" s="565"/>
      <c r="EKH260" s="565"/>
      <c r="EKI260" s="565"/>
      <c r="EKJ260" s="565"/>
      <c r="EKK260" s="565"/>
      <c r="EKL260" s="565"/>
      <c r="EKM260" s="565"/>
      <c r="EKN260" s="566"/>
      <c r="EKO260" s="565"/>
      <c r="EKP260" s="565"/>
      <c r="EKQ260" s="565"/>
      <c r="EKR260" s="565"/>
      <c r="EKS260" s="565"/>
      <c r="EKT260" s="565"/>
      <c r="EKU260" s="565"/>
      <c r="EKV260" s="565"/>
      <c r="EKW260" s="565"/>
      <c r="EKX260" s="565"/>
      <c r="EKY260" s="565"/>
      <c r="EKZ260" s="565"/>
      <c r="ELA260" s="565"/>
      <c r="ELB260" s="565"/>
      <c r="ELC260" s="565"/>
      <c r="ELD260" s="565"/>
      <c r="ELE260" s="565"/>
      <c r="ELF260" s="565"/>
      <c r="ELG260" s="565"/>
      <c r="ELH260" s="566"/>
      <c r="ELI260" s="565"/>
      <c r="ELJ260" s="565"/>
      <c r="ELK260" s="565"/>
      <c r="ELL260" s="565"/>
      <c r="ELM260" s="565"/>
      <c r="ELN260" s="565"/>
      <c r="ELO260" s="565"/>
      <c r="ELP260" s="565"/>
      <c r="ELQ260" s="565"/>
      <c r="ELR260" s="565"/>
      <c r="ELS260" s="565"/>
      <c r="ELT260" s="565"/>
      <c r="ELU260" s="565"/>
      <c r="ELV260" s="565"/>
      <c r="ELW260" s="565"/>
      <c r="ELX260" s="565"/>
      <c r="ELY260" s="565"/>
      <c r="ELZ260" s="565"/>
      <c r="EMA260" s="565"/>
      <c r="EMB260" s="566"/>
      <c r="EMC260" s="565"/>
      <c r="EMD260" s="565"/>
      <c r="EME260" s="565"/>
      <c r="EMF260" s="565"/>
      <c r="EMG260" s="565"/>
      <c r="EMH260" s="565"/>
      <c r="EMI260" s="565"/>
      <c r="EMJ260" s="565"/>
      <c r="EMK260" s="565"/>
      <c r="EML260" s="565"/>
      <c r="EMM260" s="565"/>
      <c r="EMN260" s="565"/>
      <c r="EMO260" s="565"/>
      <c r="EMP260" s="565"/>
      <c r="EMQ260" s="565"/>
      <c r="EMR260" s="565"/>
      <c r="EMS260" s="565"/>
      <c r="EMT260" s="565"/>
      <c r="EMU260" s="565"/>
      <c r="EMV260" s="566"/>
      <c r="EMW260" s="565"/>
      <c r="EMX260" s="565"/>
      <c r="EMY260" s="565"/>
      <c r="EMZ260" s="565"/>
      <c r="ENA260" s="565"/>
      <c r="ENB260" s="565"/>
      <c r="ENC260" s="565"/>
      <c r="END260" s="565"/>
      <c r="ENE260" s="565"/>
      <c r="ENF260" s="565"/>
      <c r="ENG260" s="565"/>
      <c r="ENH260" s="565"/>
      <c r="ENI260" s="565"/>
      <c r="ENJ260" s="565"/>
      <c r="ENK260" s="565"/>
      <c r="ENL260" s="565"/>
      <c r="ENM260" s="565"/>
      <c r="ENN260" s="565"/>
      <c r="ENO260" s="565"/>
      <c r="ENP260" s="566"/>
      <c r="ENQ260" s="565"/>
      <c r="ENR260" s="565"/>
      <c r="ENS260" s="565"/>
      <c r="ENT260" s="565"/>
      <c r="ENU260" s="565"/>
      <c r="ENV260" s="565"/>
      <c r="ENW260" s="565"/>
      <c r="ENX260" s="565"/>
      <c r="ENY260" s="565"/>
      <c r="ENZ260" s="565"/>
      <c r="EOA260" s="565"/>
      <c r="EOB260" s="565"/>
      <c r="EOC260" s="565"/>
      <c r="EOD260" s="565"/>
      <c r="EOE260" s="565"/>
      <c r="EOF260" s="565"/>
      <c r="EOG260" s="565"/>
      <c r="EOH260" s="565"/>
      <c r="EOI260" s="565"/>
      <c r="EOJ260" s="566"/>
      <c r="EOK260" s="565"/>
      <c r="EOL260" s="565"/>
      <c r="EOM260" s="565"/>
      <c r="EON260" s="565"/>
      <c r="EOO260" s="565"/>
      <c r="EOP260" s="565"/>
      <c r="EOQ260" s="565"/>
      <c r="EOR260" s="565"/>
      <c r="EOS260" s="565"/>
      <c r="EOT260" s="565"/>
      <c r="EOU260" s="565"/>
      <c r="EOV260" s="565"/>
      <c r="EOW260" s="565"/>
      <c r="EOX260" s="565"/>
      <c r="EOY260" s="565"/>
      <c r="EOZ260" s="565"/>
      <c r="EPA260" s="565"/>
      <c r="EPB260" s="565"/>
      <c r="EPC260" s="565"/>
      <c r="EPD260" s="566"/>
      <c r="EPE260" s="565"/>
      <c r="EPF260" s="565"/>
      <c r="EPG260" s="565"/>
      <c r="EPH260" s="565"/>
      <c r="EPI260" s="565"/>
      <c r="EPJ260" s="565"/>
      <c r="EPK260" s="565"/>
      <c r="EPL260" s="565"/>
      <c r="EPM260" s="565"/>
      <c r="EPN260" s="565"/>
      <c r="EPO260" s="565"/>
      <c r="EPP260" s="565"/>
      <c r="EPQ260" s="565"/>
      <c r="EPR260" s="565"/>
      <c r="EPS260" s="565"/>
      <c r="EPT260" s="565"/>
      <c r="EPU260" s="565"/>
      <c r="EPV260" s="565"/>
      <c r="EPW260" s="565"/>
      <c r="EPX260" s="566"/>
      <c r="EPY260" s="565"/>
      <c r="EPZ260" s="565"/>
      <c r="EQA260" s="565"/>
      <c r="EQB260" s="565"/>
      <c r="EQC260" s="565"/>
      <c r="EQD260" s="565"/>
      <c r="EQE260" s="565"/>
      <c r="EQF260" s="565"/>
      <c r="EQG260" s="565"/>
      <c r="EQH260" s="565"/>
      <c r="EQI260" s="565"/>
      <c r="EQJ260" s="565"/>
      <c r="EQK260" s="565"/>
      <c r="EQL260" s="565"/>
      <c r="EQM260" s="565"/>
      <c r="EQN260" s="565"/>
      <c r="EQO260" s="565"/>
      <c r="EQP260" s="565"/>
      <c r="EQQ260" s="565"/>
      <c r="EQR260" s="566"/>
      <c r="EQS260" s="565"/>
      <c r="EQT260" s="565"/>
      <c r="EQU260" s="565"/>
      <c r="EQV260" s="565"/>
      <c r="EQW260" s="565"/>
      <c r="EQX260" s="565"/>
      <c r="EQY260" s="565"/>
      <c r="EQZ260" s="565"/>
      <c r="ERA260" s="565"/>
      <c r="ERB260" s="565"/>
      <c r="ERC260" s="565"/>
      <c r="ERD260" s="565"/>
      <c r="ERE260" s="565"/>
      <c r="ERF260" s="565"/>
      <c r="ERG260" s="565"/>
      <c r="ERH260" s="565"/>
      <c r="ERI260" s="565"/>
      <c r="ERJ260" s="565"/>
      <c r="ERK260" s="565"/>
      <c r="ERL260" s="566"/>
      <c r="ERM260" s="565"/>
      <c r="ERN260" s="565"/>
      <c r="ERO260" s="565"/>
      <c r="ERP260" s="565"/>
      <c r="ERQ260" s="565"/>
      <c r="ERR260" s="565"/>
      <c r="ERS260" s="565"/>
      <c r="ERT260" s="565"/>
      <c r="ERU260" s="565"/>
      <c r="ERV260" s="565"/>
      <c r="ERW260" s="565"/>
      <c r="ERX260" s="565"/>
      <c r="ERY260" s="565"/>
      <c r="ERZ260" s="565"/>
      <c r="ESA260" s="565"/>
      <c r="ESB260" s="565"/>
      <c r="ESC260" s="565"/>
      <c r="ESD260" s="565"/>
      <c r="ESE260" s="565"/>
      <c r="ESF260" s="566"/>
      <c r="ESG260" s="565"/>
      <c r="ESH260" s="565"/>
      <c r="ESI260" s="565"/>
      <c r="ESJ260" s="565"/>
      <c r="ESK260" s="565"/>
      <c r="ESL260" s="565"/>
      <c r="ESM260" s="565"/>
      <c r="ESN260" s="565"/>
      <c r="ESO260" s="565"/>
      <c r="ESP260" s="565"/>
      <c r="ESQ260" s="565"/>
      <c r="ESR260" s="565"/>
      <c r="ESS260" s="565"/>
      <c r="EST260" s="565"/>
      <c r="ESU260" s="565"/>
      <c r="ESV260" s="565"/>
      <c r="ESW260" s="565"/>
      <c r="ESX260" s="565"/>
      <c r="ESY260" s="565"/>
      <c r="ESZ260" s="566"/>
      <c r="ETA260" s="565"/>
      <c r="ETB260" s="565"/>
      <c r="ETC260" s="565"/>
      <c r="ETD260" s="565"/>
      <c r="ETE260" s="565"/>
      <c r="ETF260" s="565"/>
      <c r="ETG260" s="565"/>
      <c r="ETH260" s="565"/>
      <c r="ETI260" s="565"/>
      <c r="ETJ260" s="565"/>
      <c r="ETK260" s="565"/>
      <c r="ETL260" s="565"/>
      <c r="ETM260" s="565"/>
      <c r="ETN260" s="565"/>
      <c r="ETO260" s="565"/>
      <c r="ETP260" s="565"/>
      <c r="ETQ260" s="565"/>
      <c r="ETR260" s="565"/>
      <c r="ETS260" s="565"/>
      <c r="ETT260" s="566"/>
      <c r="ETU260" s="565"/>
      <c r="ETV260" s="565"/>
      <c r="ETW260" s="565"/>
      <c r="ETX260" s="565"/>
      <c r="ETY260" s="565"/>
      <c r="ETZ260" s="565"/>
      <c r="EUA260" s="565"/>
      <c r="EUB260" s="565"/>
      <c r="EUC260" s="565"/>
      <c r="EUD260" s="565"/>
      <c r="EUE260" s="565"/>
      <c r="EUF260" s="565"/>
      <c r="EUG260" s="565"/>
      <c r="EUH260" s="565"/>
      <c r="EUI260" s="565"/>
      <c r="EUJ260" s="565"/>
      <c r="EUK260" s="565"/>
      <c r="EUL260" s="565"/>
      <c r="EUM260" s="565"/>
      <c r="EUN260" s="566"/>
      <c r="EUO260" s="565"/>
      <c r="EUP260" s="565"/>
      <c r="EUQ260" s="565"/>
      <c r="EUR260" s="565"/>
      <c r="EUS260" s="565"/>
      <c r="EUT260" s="565"/>
      <c r="EUU260" s="565"/>
      <c r="EUV260" s="565"/>
      <c r="EUW260" s="565"/>
      <c r="EUX260" s="565"/>
      <c r="EUY260" s="565"/>
      <c r="EUZ260" s="565"/>
      <c r="EVA260" s="565"/>
      <c r="EVB260" s="565"/>
      <c r="EVC260" s="565"/>
      <c r="EVD260" s="565"/>
      <c r="EVE260" s="565"/>
      <c r="EVF260" s="565"/>
      <c r="EVG260" s="565"/>
      <c r="EVH260" s="566"/>
      <c r="EVI260" s="565"/>
      <c r="EVJ260" s="565"/>
      <c r="EVK260" s="565"/>
      <c r="EVL260" s="565"/>
      <c r="EVM260" s="565"/>
      <c r="EVN260" s="565"/>
      <c r="EVO260" s="565"/>
      <c r="EVP260" s="565"/>
      <c r="EVQ260" s="565"/>
      <c r="EVR260" s="565"/>
      <c r="EVS260" s="565"/>
      <c r="EVT260" s="565"/>
      <c r="EVU260" s="565"/>
      <c r="EVV260" s="565"/>
      <c r="EVW260" s="565"/>
      <c r="EVX260" s="565"/>
      <c r="EVY260" s="565"/>
      <c r="EVZ260" s="565"/>
      <c r="EWA260" s="565"/>
      <c r="EWB260" s="566"/>
      <c r="EWC260" s="565"/>
      <c r="EWD260" s="565"/>
      <c r="EWE260" s="565"/>
      <c r="EWF260" s="565"/>
      <c r="EWG260" s="565"/>
      <c r="EWH260" s="565"/>
      <c r="EWI260" s="565"/>
      <c r="EWJ260" s="565"/>
      <c r="EWK260" s="565"/>
      <c r="EWL260" s="565"/>
      <c r="EWM260" s="565"/>
      <c r="EWN260" s="565"/>
      <c r="EWO260" s="565"/>
      <c r="EWP260" s="565"/>
      <c r="EWQ260" s="565"/>
      <c r="EWR260" s="565"/>
      <c r="EWS260" s="565"/>
      <c r="EWT260" s="565"/>
      <c r="EWU260" s="565"/>
      <c r="EWV260" s="566"/>
      <c r="EWW260" s="565"/>
      <c r="EWX260" s="565"/>
      <c r="EWY260" s="565"/>
      <c r="EWZ260" s="565"/>
      <c r="EXA260" s="565"/>
      <c r="EXB260" s="565"/>
      <c r="EXC260" s="565"/>
      <c r="EXD260" s="565"/>
      <c r="EXE260" s="565"/>
      <c r="EXF260" s="565"/>
      <c r="EXG260" s="565"/>
      <c r="EXH260" s="565"/>
      <c r="EXI260" s="565"/>
      <c r="EXJ260" s="565"/>
      <c r="EXK260" s="565"/>
      <c r="EXL260" s="565"/>
      <c r="EXM260" s="565"/>
      <c r="EXN260" s="565"/>
      <c r="EXO260" s="565"/>
      <c r="EXP260" s="566"/>
      <c r="EXQ260" s="565"/>
      <c r="EXR260" s="565"/>
      <c r="EXS260" s="565"/>
      <c r="EXT260" s="565"/>
      <c r="EXU260" s="565"/>
      <c r="EXV260" s="565"/>
      <c r="EXW260" s="565"/>
      <c r="EXX260" s="565"/>
      <c r="EXY260" s="565"/>
      <c r="EXZ260" s="565"/>
      <c r="EYA260" s="565"/>
      <c r="EYB260" s="565"/>
      <c r="EYC260" s="565"/>
      <c r="EYD260" s="565"/>
      <c r="EYE260" s="565"/>
      <c r="EYF260" s="565"/>
      <c r="EYG260" s="565"/>
      <c r="EYH260" s="565"/>
      <c r="EYI260" s="565"/>
      <c r="EYJ260" s="566"/>
      <c r="EYK260" s="565"/>
      <c r="EYL260" s="565"/>
      <c r="EYM260" s="565"/>
      <c r="EYN260" s="565"/>
      <c r="EYO260" s="565"/>
      <c r="EYP260" s="565"/>
      <c r="EYQ260" s="565"/>
      <c r="EYR260" s="565"/>
      <c r="EYS260" s="565"/>
      <c r="EYT260" s="565"/>
      <c r="EYU260" s="565"/>
      <c r="EYV260" s="565"/>
      <c r="EYW260" s="565"/>
      <c r="EYX260" s="565"/>
      <c r="EYY260" s="565"/>
      <c r="EYZ260" s="565"/>
      <c r="EZA260" s="565"/>
      <c r="EZB260" s="565"/>
      <c r="EZC260" s="565"/>
      <c r="EZD260" s="566"/>
      <c r="EZE260" s="565"/>
      <c r="EZF260" s="565"/>
      <c r="EZG260" s="565"/>
      <c r="EZH260" s="565"/>
      <c r="EZI260" s="565"/>
      <c r="EZJ260" s="565"/>
      <c r="EZK260" s="565"/>
      <c r="EZL260" s="565"/>
      <c r="EZM260" s="565"/>
      <c r="EZN260" s="565"/>
      <c r="EZO260" s="565"/>
      <c r="EZP260" s="565"/>
      <c r="EZQ260" s="565"/>
      <c r="EZR260" s="565"/>
      <c r="EZS260" s="565"/>
      <c r="EZT260" s="565"/>
      <c r="EZU260" s="565"/>
      <c r="EZV260" s="565"/>
      <c r="EZW260" s="565"/>
      <c r="EZX260" s="566"/>
      <c r="EZY260" s="565"/>
      <c r="EZZ260" s="565"/>
      <c r="FAA260" s="565"/>
      <c r="FAB260" s="565"/>
      <c r="FAC260" s="565"/>
      <c r="FAD260" s="565"/>
      <c r="FAE260" s="565"/>
      <c r="FAF260" s="565"/>
      <c r="FAG260" s="565"/>
      <c r="FAH260" s="565"/>
      <c r="FAI260" s="565"/>
      <c r="FAJ260" s="565"/>
      <c r="FAK260" s="565"/>
      <c r="FAL260" s="565"/>
      <c r="FAM260" s="565"/>
      <c r="FAN260" s="565"/>
      <c r="FAO260" s="565"/>
      <c r="FAP260" s="565"/>
      <c r="FAQ260" s="565"/>
      <c r="FAR260" s="566"/>
      <c r="FAS260" s="565"/>
      <c r="FAT260" s="565"/>
      <c r="FAU260" s="565"/>
      <c r="FAV260" s="565"/>
      <c r="FAW260" s="565"/>
      <c r="FAX260" s="565"/>
      <c r="FAY260" s="565"/>
      <c r="FAZ260" s="565"/>
      <c r="FBA260" s="565"/>
      <c r="FBB260" s="565"/>
      <c r="FBC260" s="565"/>
      <c r="FBD260" s="565"/>
      <c r="FBE260" s="565"/>
      <c r="FBF260" s="565"/>
      <c r="FBG260" s="565"/>
      <c r="FBH260" s="565"/>
      <c r="FBI260" s="565"/>
      <c r="FBJ260" s="565"/>
      <c r="FBK260" s="565"/>
      <c r="FBL260" s="566"/>
      <c r="FBM260" s="565"/>
      <c r="FBN260" s="565"/>
      <c r="FBO260" s="565"/>
      <c r="FBP260" s="565"/>
      <c r="FBQ260" s="565"/>
      <c r="FBR260" s="565"/>
      <c r="FBS260" s="565"/>
      <c r="FBT260" s="565"/>
      <c r="FBU260" s="565"/>
      <c r="FBV260" s="565"/>
      <c r="FBW260" s="565"/>
      <c r="FBX260" s="565"/>
      <c r="FBY260" s="565"/>
      <c r="FBZ260" s="565"/>
      <c r="FCA260" s="565"/>
      <c r="FCB260" s="565"/>
      <c r="FCC260" s="565"/>
      <c r="FCD260" s="565"/>
      <c r="FCE260" s="565"/>
      <c r="FCF260" s="566"/>
      <c r="FCG260" s="565"/>
      <c r="FCH260" s="565"/>
      <c r="FCI260" s="565"/>
      <c r="FCJ260" s="565"/>
      <c r="FCK260" s="565"/>
      <c r="FCL260" s="565"/>
      <c r="FCM260" s="565"/>
      <c r="FCN260" s="565"/>
      <c r="FCO260" s="565"/>
      <c r="FCP260" s="565"/>
      <c r="FCQ260" s="565"/>
      <c r="FCR260" s="565"/>
      <c r="FCS260" s="565"/>
      <c r="FCT260" s="565"/>
      <c r="FCU260" s="565"/>
      <c r="FCV260" s="565"/>
      <c r="FCW260" s="565"/>
      <c r="FCX260" s="565"/>
      <c r="FCY260" s="565"/>
      <c r="FCZ260" s="566"/>
      <c r="FDA260" s="565"/>
      <c r="FDB260" s="565"/>
      <c r="FDC260" s="565"/>
      <c r="FDD260" s="565"/>
      <c r="FDE260" s="565"/>
      <c r="FDF260" s="565"/>
      <c r="FDG260" s="565"/>
      <c r="FDH260" s="565"/>
      <c r="FDI260" s="565"/>
      <c r="FDJ260" s="565"/>
      <c r="FDK260" s="565"/>
      <c r="FDL260" s="565"/>
      <c r="FDM260" s="565"/>
      <c r="FDN260" s="565"/>
      <c r="FDO260" s="565"/>
      <c r="FDP260" s="565"/>
      <c r="FDQ260" s="565"/>
      <c r="FDR260" s="565"/>
      <c r="FDS260" s="565"/>
      <c r="FDT260" s="566"/>
      <c r="FDU260" s="565"/>
      <c r="FDV260" s="565"/>
      <c r="FDW260" s="565"/>
      <c r="FDX260" s="565"/>
      <c r="FDY260" s="565"/>
      <c r="FDZ260" s="565"/>
      <c r="FEA260" s="565"/>
      <c r="FEB260" s="565"/>
      <c r="FEC260" s="565"/>
      <c r="FED260" s="565"/>
      <c r="FEE260" s="565"/>
      <c r="FEF260" s="565"/>
      <c r="FEG260" s="565"/>
      <c r="FEH260" s="565"/>
      <c r="FEI260" s="565"/>
      <c r="FEJ260" s="565"/>
      <c r="FEK260" s="565"/>
      <c r="FEL260" s="565"/>
      <c r="FEM260" s="565"/>
      <c r="FEN260" s="566"/>
      <c r="FEO260" s="565"/>
      <c r="FEP260" s="565"/>
      <c r="FEQ260" s="565"/>
      <c r="FER260" s="565"/>
      <c r="FES260" s="565"/>
      <c r="FET260" s="565"/>
      <c r="FEU260" s="565"/>
      <c r="FEV260" s="565"/>
      <c r="FEW260" s="565"/>
      <c r="FEX260" s="565"/>
      <c r="FEY260" s="565"/>
      <c r="FEZ260" s="565"/>
      <c r="FFA260" s="565"/>
      <c r="FFB260" s="565"/>
      <c r="FFC260" s="565"/>
      <c r="FFD260" s="565"/>
      <c r="FFE260" s="565"/>
      <c r="FFF260" s="565"/>
      <c r="FFG260" s="565"/>
      <c r="FFH260" s="566"/>
      <c r="FFI260" s="565"/>
      <c r="FFJ260" s="565"/>
      <c r="FFK260" s="565"/>
      <c r="FFL260" s="565"/>
      <c r="FFM260" s="565"/>
      <c r="FFN260" s="565"/>
      <c r="FFO260" s="565"/>
      <c r="FFP260" s="565"/>
      <c r="FFQ260" s="565"/>
      <c r="FFR260" s="565"/>
      <c r="FFS260" s="565"/>
      <c r="FFT260" s="565"/>
      <c r="FFU260" s="565"/>
      <c r="FFV260" s="565"/>
      <c r="FFW260" s="565"/>
      <c r="FFX260" s="565"/>
      <c r="FFY260" s="565"/>
      <c r="FFZ260" s="565"/>
      <c r="FGA260" s="565"/>
      <c r="FGB260" s="566"/>
      <c r="FGC260" s="565"/>
      <c r="FGD260" s="565"/>
      <c r="FGE260" s="565"/>
      <c r="FGF260" s="565"/>
      <c r="FGG260" s="565"/>
      <c r="FGH260" s="565"/>
      <c r="FGI260" s="565"/>
      <c r="FGJ260" s="565"/>
      <c r="FGK260" s="565"/>
      <c r="FGL260" s="565"/>
      <c r="FGM260" s="565"/>
      <c r="FGN260" s="565"/>
      <c r="FGO260" s="565"/>
      <c r="FGP260" s="565"/>
      <c r="FGQ260" s="565"/>
      <c r="FGR260" s="565"/>
      <c r="FGS260" s="565"/>
      <c r="FGT260" s="565"/>
      <c r="FGU260" s="565"/>
      <c r="FGV260" s="566"/>
      <c r="FGW260" s="565"/>
      <c r="FGX260" s="565"/>
      <c r="FGY260" s="565"/>
      <c r="FGZ260" s="565"/>
      <c r="FHA260" s="565"/>
      <c r="FHB260" s="565"/>
      <c r="FHC260" s="565"/>
      <c r="FHD260" s="565"/>
      <c r="FHE260" s="565"/>
      <c r="FHF260" s="565"/>
      <c r="FHG260" s="565"/>
      <c r="FHH260" s="565"/>
      <c r="FHI260" s="565"/>
      <c r="FHJ260" s="565"/>
      <c r="FHK260" s="565"/>
      <c r="FHL260" s="565"/>
      <c r="FHM260" s="565"/>
      <c r="FHN260" s="565"/>
      <c r="FHO260" s="565"/>
      <c r="FHP260" s="566"/>
      <c r="FHQ260" s="565"/>
      <c r="FHR260" s="565"/>
      <c r="FHS260" s="565"/>
      <c r="FHT260" s="565"/>
      <c r="FHU260" s="565"/>
      <c r="FHV260" s="565"/>
      <c r="FHW260" s="565"/>
      <c r="FHX260" s="565"/>
      <c r="FHY260" s="565"/>
      <c r="FHZ260" s="565"/>
      <c r="FIA260" s="565"/>
      <c r="FIB260" s="565"/>
      <c r="FIC260" s="565"/>
      <c r="FID260" s="565"/>
      <c r="FIE260" s="565"/>
      <c r="FIF260" s="565"/>
      <c r="FIG260" s="565"/>
      <c r="FIH260" s="565"/>
      <c r="FII260" s="565"/>
      <c r="FIJ260" s="566"/>
      <c r="FIK260" s="565"/>
      <c r="FIL260" s="565"/>
      <c r="FIM260" s="565"/>
      <c r="FIN260" s="565"/>
      <c r="FIO260" s="565"/>
      <c r="FIP260" s="565"/>
      <c r="FIQ260" s="565"/>
      <c r="FIR260" s="565"/>
      <c r="FIS260" s="565"/>
      <c r="FIT260" s="565"/>
      <c r="FIU260" s="565"/>
      <c r="FIV260" s="565"/>
      <c r="FIW260" s="565"/>
      <c r="FIX260" s="565"/>
      <c r="FIY260" s="565"/>
      <c r="FIZ260" s="565"/>
      <c r="FJA260" s="565"/>
      <c r="FJB260" s="565"/>
      <c r="FJC260" s="565"/>
      <c r="FJD260" s="566"/>
      <c r="FJE260" s="565"/>
      <c r="FJF260" s="565"/>
      <c r="FJG260" s="565"/>
      <c r="FJH260" s="565"/>
      <c r="FJI260" s="565"/>
      <c r="FJJ260" s="565"/>
      <c r="FJK260" s="565"/>
      <c r="FJL260" s="565"/>
      <c r="FJM260" s="565"/>
      <c r="FJN260" s="565"/>
      <c r="FJO260" s="565"/>
      <c r="FJP260" s="565"/>
      <c r="FJQ260" s="565"/>
      <c r="FJR260" s="565"/>
      <c r="FJS260" s="565"/>
      <c r="FJT260" s="565"/>
      <c r="FJU260" s="565"/>
      <c r="FJV260" s="565"/>
      <c r="FJW260" s="565"/>
      <c r="FJX260" s="566"/>
      <c r="FJY260" s="565"/>
      <c r="FJZ260" s="565"/>
      <c r="FKA260" s="565"/>
      <c r="FKB260" s="565"/>
      <c r="FKC260" s="565"/>
      <c r="FKD260" s="565"/>
      <c r="FKE260" s="565"/>
      <c r="FKF260" s="565"/>
      <c r="FKG260" s="565"/>
      <c r="FKH260" s="565"/>
      <c r="FKI260" s="565"/>
      <c r="FKJ260" s="565"/>
      <c r="FKK260" s="565"/>
      <c r="FKL260" s="565"/>
      <c r="FKM260" s="565"/>
      <c r="FKN260" s="565"/>
      <c r="FKO260" s="565"/>
      <c r="FKP260" s="565"/>
      <c r="FKQ260" s="565"/>
      <c r="FKR260" s="566"/>
      <c r="FKS260" s="565"/>
      <c r="FKT260" s="565"/>
      <c r="FKU260" s="565"/>
      <c r="FKV260" s="565"/>
      <c r="FKW260" s="565"/>
      <c r="FKX260" s="565"/>
      <c r="FKY260" s="565"/>
      <c r="FKZ260" s="565"/>
      <c r="FLA260" s="565"/>
      <c r="FLB260" s="565"/>
      <c r="FLC260" s="565"/>
      <c r="FLD260" s="565"/>
      <c r="FLE260" s="565"/>
      <c r="FLF260" s="565"/>
      <c r="FLG260" s="565"/>
      <c r="FLH260" s="565"/>
      <c r="FLI260" s="565"/>
      <c r="FLJ260" s="565"/>
      <c r="FLK260" s="565"/>
      <c r="FLL260" s="566"/>
      <c r="FLM260" s="565"/>
      <c r="FLN260" s="565"/>
      <c r="FLO260" s="565"/>
      <c r="FLP260" s="565"/>
      <c r="FLQ260" s="565"/>
      <c r="FLR260" s="565"/>
      <c r="FLS260" s="565"/>
      <c r="FLT260" s="565"/>
      <c r="FLU260" s="565"/>
      <c r="FLV260" s="565"/>
      <c r="FLW260" s="565"/>
      <c r="FLX260" s="565"/>
      <c r="FLY260" s="565"/>
      <c r="FLZ260" s="565"/>
      <c r="FMA260" s="565"/>
      <c r="FMB260" s="565"/>
      <c r="FMC260" s="565"/>
      <c r="FMD260" s="565"/>
      <c r="FME260" s="565"/>
      <c r="FMF260" s="566"/>
      <c r="FMG260" s="565"/>
      <c r="FMH260" s="565"/>
      <c r="FMI260" s="565"/>
      <c r="FMJ260" s="565"/>
      <c r="FMK260" s="565"/>
      <c r="FML260" s="565"/>
      <c r="FMM260" s="565"/>
      <c r="FMN260" s="565"/>
      <c r="FMO260" s="565"/>
      <c r="FMP260" s="565"/>
      <c r="FMQ260" s="565"/>
      <c r="FMR260" s="565"/>
      <c r="FMS260" s="565"/>
      <c r="FMT260" s="565"/>
      <c r="FMU260" s="565"/>
      <c r="FMV260" s="565"/>
      <c r="FMW260" s="565"/>
      <c r="FMX260" s="565"/>
      <c r="FMY260" s="565"/>
      <c r="FMZ260" s="566"/>
      <c r="FNA260" s="565"/>
      <c r="FNB260" s="565"/>
      <c r="FNC260" s="565"/>
      <c r="FND260" s="565"/>
      <c r="FNE260" s="565"/>
      <c r="FNF260" s="565"/>
      <c r="FNG260" s="565"/>
      <c r="FNH260" s="565"/>
      <c r="FNI260" s="565"/>
      <c r="FNJ260" s="565"/>
      <c r="FNK260" s="565"/>
      <c r="FNL260" s="565"/>
      <c r="FNM260" s="565"/>
      <c r="FNN260" s="565"/>
      <c r="FNO260" s="565"/>
      <c r="FNP260" s="565"/>
      <c r="FNQ260" s="565"/>
      <c r="FNR260" s="565"/>
      <c r="FNS260" s="565"/>
      <c r="FNT260" s="566"/>
      <c r="FNU260" s="565"/>
      <c r="FNV260" s="565"/>
      <c r="FNW260" s="565"/>
      <c r="FNX260" s="565"/>
      <c r="FNY260" s="565"/>
      <c r="FNZ260" s="565"/>
      <c r="FOA260" s="565"/>
      <c r="FOB260" s="565"/>
      <c r="FOC260" s="565"/>
      <c r="FOD260" s="565"/>
      <c r="FOE260" s="565"/>
      <c r="FOF260" s="565"/>
      <c r="FOG260" s="565"/>
      <c r="FOH260" s="565"/>
      <c r="FOI260" s="565"/>
      <c r="FOJ260" s="565"/>
      <c r="FOK260" s="565"/>
      <c r="FOL260" s="565"/>
      <c r="FOM260" s="565"/>
      <c r="FON260" s="566"/>
      <c r="FOO260" s="565"/>
      <c r="FOP260" s="565"/>
      <c r="FOQ260" s="565"/>
      <c r="FOR260" s="565"/>
      <c r="FOS260" s="565"/>
      <c r="FOT260" s="565"/>
      <c r="FOU260" s="565"/>
      <c r="FOV260" s="565"/>
      <c r="FOW260" s="565"/>
      <c r="FOX260" s="565"/>
      <c r="FOY260" s="565"/>
      <c r="FOZ260" s="565"/>
      <c r="FPA260" s="565"/>
      <c r="FPB260" s="565"/>
      <c r="FPC260" s="565"/>
      <c r="FPD260" s="565"/>
      <c r="FPE260" s="565"/>
      <c r="FPF260" s="565"/>
      <c r="FPG260" s="565"/>
      <c r="FPH260" s="566"/>
      <c r="FPI260" s="565"/>
      <c r="FPJ260" s="565"/>
      <c r="FPK260" s="565"/>
      <c r="FPL260" s="565"/>
      <c r="FPM260" s="565"/>
      <c r="FPN260" s="565"/>
      <c r="FPO260" s="565"/>
      <c r="FPP260" s="565"/>
      <c r="FPQ260" s="565"/>
      <c r="FPR260" s="565"/>
      <c r="FPS260" s="565"/>
      <c r="FPT260" s="565"/>
      <c r="FPU260" s="565"/>
      <c r="FPV260" s="565"/>
      <c r="FPW260" s="565"/>
      <c r="FPX260" s="565"/>
      <c r="FPY260" s="565"/>
      <c r="FPZ260" s="565"/>
      <c r="FQA260" s="565"/>
      <c r="FQB260" s="566"/>
      <c r="FQC260" s="565"/>
      <c r="FQD260" s="565"/>
      <c r="FQE260" s="565"/>
      <c r="FQF260" s="565"/>
      <c r="FQG260" s="565"/>
      <c r="FQH260" s="565"/>
      <c r="FQI260" s="565"/>
      <c r="FQJ260" s="565"/>
      <c r="FQK260" s="565"/>
      <c r="FQL260" s="565"/>
      <c r="FQM260" s="565"/>
      <c r="FQN260" s="565"/>
      <c r="FQO260" s="565"/>
      <c r="FQP260" s="565"/>
      <c r="FQQ260" s="565"/>
      <c r="FQR260" s="565"/>
      <c r="FQS260" s="565"/>
      <c r="FQT260" s="565"/>
      <c r="FQU260" s="565"/>
      <c r="FQV260" s="566"/>
      <c r="FQW260" s="565"/>
      <c r="FQX260" s="565"/>
      <c r="FQY260" s="565"/>
      <c r="FQZ260" s="565"/>
      <c r="FRA260" s="565"/>
      <c r="FRB260" s="565"/>
      <c r="FRC260" s="565"/>
      <c r="FRD260" s="565"/>
      <c r="FRE260" s="565"/>
      <c r="FRF260" s="565"/>
      <c r="FRG260" s="565"/>
      <c r="FRH260" s="565"/>
      <c r="FRI260" s="565"/>
      <c r="FRJ260" s="565"/>
      <c r="FRK260" s="565"/>
      <c r="FRL260" s="565"/>
      <c r="FRM260" s="565"/>
      <c r="FRN260" s="565"/>
      <c r="FRO260" s="565"/>
      <c r="FRP260" s="566"/>
      <c r="FRQ260" s="565"/>
      <c r="FRR260" s="565"/>
      <c r="FRS260" s="565"/>
      <c r="FRT260" s="565"/>
      <c r="FRU260" s="565"/>
      <c r="FRV260" s="565"/>
      <c r="FRW260" s="565"/>
      <c r="FRX260" s="565"/>
      <c r="FRY260" s="565"/>
      <c r="FRZ260" s="565"/>
      <c r="FSA260" s="565"/>
      <c r="FSB260" s="565"/>
      <c r="FSC260" s="565"/>
      <c r="FSD260" s="565"/>
      <c r="FSE260" s="565"/>
      <c r="FSF260" s="565"/>
      <c r="FSG260" s="565"/>
      <c r="FSH260" s="565"/>
      <c r="FSI260" s="565"/>
      <c r="FSJ260" s="566"/>
      <c r="FSK260" s="565"/>
      <c r="FSL260" s="565"/>
      <c r="FSM260" s="565"/>
      <c r="FSN260" s="565"/>
      <c r="FSO260" s="565"/>
      <c r="FSP260" s="565"/>
      <c r="FSQ260" s="565"/>
      <c r="FSR260" s="565"/>
      <c r="FSS260" s="565"/>
      <c r="FST260" s="565"/>
      <c r="FSU260" s="565"/>
      <c r="FSV260" s="565"/>
      <c r="FSW260" s="565"/>
      <c r="FSX260" s="565"/>
      <c r="FSY260" s="565"/>
      <c r="FSZ260" s="565"/>
      <c r="FTA260" s="565"/>
      <c r="FTB260" s="565"/>
      <c r="FTC260" s="565"/>
      <c r="FTD260" s="566"/>
      <c r="FTE260" s="565"/>
      <c r="FTF260" s="565"/>
      <c r="FTG260" s="565"/>
      <c r="FTH260" s="565"/>
      <c r="FTI260" s="565"/>
      <c r="FTJ260" s="565"/>
      <c r="FTK260" s="565"/>
      <c r="FTL260" s="565"/>
      <c r="FTM260" s="565"/>
      <c r="FTN260" s="565"/>
      <c r="FTO260" s="565"/>
      <c r="FTP260" s="565"/>
      <c r="FTQ260" s="565"/>
      <c r="FTR260" s="565"/>
      <c r="FTS260" s="565"/>
      <c r="FTT260" s="565"/>
      <c r="FTU260" s="565"/>
      <c r="FTV260" s="565"/>
      <c r="FTW260" s="565"/>
      <c r="FTX260" s="566"/>
      <c r="FTY260" s="565"/>
      <c r="FTZ260" s="565"/>
      <c r="FUA260" s="565"/>
      <c r="FUB260" s="565"/>
      <c r="FUC260" s="565"/>
      <c r="FUD260" s="565"/>
      <c r="FUE260" s="565"/>
      <c r="FUF260" s="565"/>
      <c r="FUG260" s="565"/>
      <c r="FUH260" s="565"/>
      <c r="FUI260" s="565"/>
      <c r="FUJ260" s="565"/>
      <c r="FUK260" s="565"/>
      <c r="FUL260" s="565"/>
      <c r="FUM260" s="565"/>
      <c r="FUN260" s="565"/>
      <c r="FUO260" s="565"/>
      <c r="FUP260" s="565"/>
      <c r="FUQ260" s="565"/>
      <c r="FUR260" s="566"/>
      <c r="FUS260" s="565"/>
      <c r="FUT260" s="565"/>
      <c r="FUU260" s="565"/>
      <c r="FUV260" s="565"/>
      <c r="FUW260" s="565"/>
      <c r="FUX260" s="565"/>
      <c r="FUY260" s="565"/>
      <c r="FUZ260" s="565"/>
      <c r="FVA260" s="565"/>
      <c r="FVB260" s="565"/>
      <c r="FVC260" s="565"/>
      <c r="FVD260" s="565"/>
      <c r="FVE260" s="565"/>
      <c r="FVF260" s="565"/>
      <c r="FVG260" s="565"/>
      <c r="FVH260" s="565"/>
      <c r="FVI260" s="565"/>
      <c r="FVJ260" s="565"/>
      <c r="FVK260" s="565"/>
      <c r="FVL260" s="566"/>
      <c r="FVM260" s="565"/>
      <c r="FVN260" s="565"/>
      <c r="FVO260" s="565"/>
      <c r="FVP260" s="565"/>
      <c r="FVQ260" s="565"/>
      <c r="FVR260" s="565"/>
      <c r="FVS260" s="565"/>
      <c r="FVT260" s="565"/>
      <c r="FVU260" s="565"/>
      <c r="FVV260" s="565"/>
      <c r="FVW260" s="565"/>
      <c r="FVX260" s="565"/>
      <c r="FVY260" s="565"/>
      <c r="FVZ260" s="565"/>
      <c r="FWA260" s="565"/>
      <c r="FWB260" s="565"/>
      <c r="FWC260" s="565"/>
      <c r="FWD260" s="565"/>
      <c r="FWE260" s="565"/>
      <c r="FWF260" s="566"/>
      <c r="FWG260" s="565"/>
      <c r="FWH260" s="565"/>
      <c r="FWI260" s="565"/>
      <c r="FWJ260" s="565"/>
      <c r="FWK260" s="565"/>
      <c r="FWL260" s="565"/>
      <c r="FWM260" s="565"/>
      <c r="FWN260" s="565"/>
      <c r="FWO260" s="565"/>
      <c r="FWP260" s="565"/>
      <c r="FWQ260" s="565"/>
      <c r="FWR260" s="565"/>
      <c r="FWS260" s="565"/>
      <c r="FWT260" s="565"/>
      <c r="FWU260" s="565"/>
      <c r="FWV260" s="565"/>
      <c r="FWW260" s="565"/>
      <c r="FWX260" s="565"/>
      <c r="FWY260" s="565"/>
      <c r="FWZ260" s="566"/>
      <c r="FXA260" s="565"/>
      <c r="FXB260" s="565"/>
      <c r="FXC260" s="565"/>
      <c r="FXD260" s="565"/>
      <c r="FXE260" s="565"/>
      <c r="FXF260" s="565"/>
      <c r="FXG260" s="565"/>
      <c r="FXH260" s="565"/>
      <c r="FXI260" s="565"/>
      <c r="FXJ260" s="565"/>
      <c r="FXK260" s="565"/>
      <c r="FXL260" s="565"/>
      <c r="FXM260" s="565"/>
      <c r="FXN260" s="565"/>
      <c r="FXO260" s="565"/>
      <c r="FXP260" s="565"/>
      <c r="FXQ260" s="565"/>
      <c r="FXR260" s="565"/>
      <c r="FXS260" s="565"/>
      <c r="FXT260" s="566"/>
      <c r="FXU260" s="565"/>
      <c r="FXV260" s="565"/>
      <c r="FXW260" s="565"/>
      <c r="FXX260" s="565"/>
      <c r="FXY260" s="565"/>
      <c r="FXZ260" s="565"/>
      <c r="FYA260" s="565"/>
      <c r="FYB260" s="565"/>
      <c r="FYC260" s="565"/>
      <c r="FYD260" s="565"/>
      <c r="FYE260" s="565"/>
      <c r="FYF260" s="565"/>
      <c r="FYG260" s="565"/>
      <c r="FYH260" s="565"/>
      <c r="FYI260" s="565"/>
      <c r="FYJ260" s="565"/>
      <c r="FYK260" s="565"/>
      <c r="FYL260" s="565"/>
      <c r="FYM260" s="565"/>
      <c r="FYN260" s="566"/>
      <c r="FYO260" s="565"/>
      <c r="FYP260" s="565"/>
      <c r="FYQ260" s="565"/>
      <c r="FYR260" s="565"/>
      <c r="FYS260" s="565"/>
      <c r="FYT260" s="565"/>
      <c r="FYU260" s="565"/>
      <c r="FYV260" s="565"/>
      <c r="FYW260" s="565"/>
      <c r="FYX260" s="565"/>
      <c r="FYY260" s="565"/>
      <c r="FYZ260" s="565"/>
      <c r="FZA260" s="565"/>
      <c r="FZB260" s="565"/>
      <c r="FZC260" s="565"/>
      <c r="FZD260" s="565"/>
      <c r="FZE260" s="565"/>
      <c r="FZF260" s="565"/>
      <c r="FZG260" s="565"/>
      <c r="FZH260" s="566"/>
      <c r="FZI260" s="565"/>
      <c r="FZJ260" s="565"/>
      <c r="FZK260" s="565"/>
      <c r="FZL260" s="565"/>
      <c r="FZM260" s="565"/>
      <c r="FZN260" s="565"/>
      <c r="FZO260" s="565"/>
      <c r="FZP260" s="565"/>
      <c r="FZQ260" s="565"/>
      <c r="FZR260" s="565"/>
      <c r="FZS260" s="565"/>
      <c r="FZT260" s="565"/>
      <c r="FZU260" s="565"/>
      <c r="FZV260" s="565"/>
      <c r="FZW260" s="565"/>
      <c r="FZX260" s="565"/>
      <c r="FZY260" s="565"/>
      <c r="FZZ260" s="565"/>
      <c r="GAA260" s="565"/>
      <c r="GAB260" s="566"/>
      <c r="GAC260" s="565"/>
      <c r="GAD260" s="565"/>
      <c r="GAE260" s="565"/>
      <c r="GAF260" s="565"/>
      <c r="GAG260" s="565"/>
      <c r="GAH260" s="565"/>
      <c r="GAI260" s="565"/>
      <c r="GAJ260" s="565"/>
      <c r="GAK260" s="565"/>
      <c r="GAL260" s="565"/>
      <c r="GAM260" s="565"/>
      <c r="GAN260" s="565"/>
      <c r="GAO260" s="565"/>
      <c r="GAP260" s="565"/>
      <c r="GAQ260" s="565"/>
      <c r="GAR260" s="565"/>
      <c r="GAS260" s="565"/>
      <c r="GAT260" s="565"/>
      <c r="GAU260" s="565"/>
      <c r="GAV260" s="566"/>
      <c r="GAW260" s="565"/>
      <c r="GAX260" s="565"/>
      <c r="GAY260" s="565"/>
      <c r="GAZ260" s="565"/>
      <c r="GBA260" s="565"/>
      <c r="GBB260" s="565"/>
      <c r="GBC260" s="565"/>
      <c r="GBD260" s="565"/>
      <c r="GBE260" s="565"/>
      <c r="GBF260" s="565"/>
      <c r="GBG260" s="565"/>
      <c r="GBH260" s="565"/>
      <c r="GBI260" s="565"/>
      <c r="GBJ260" s="565"/>
      <c r="GBK260" s="565"/>
      <c r="GBL260" s="565"/>
      <c r="GBM260" s="565"/>
      <c r="GBN260" s="565"/>
      <c r="GBO260" s="565"/>
      <c r="GBP260" s="566"/>
      <c r="GBQ260" s="565"/>
      <c r="GBR260" s="565"/>
      <c r="GBS260" s="565"/>
      <c r="GBT260" s="565"/>
      <c r="GBU260" s="565"/>
      <c r="GBV260" s="565"/>
      <c r="GBW260" s="565"/>
      <c r="GBX260" s="565"/>
      <c r="GBY260" s="565"/>
      <c r="GBZ260" s="565"/>
      <c r="GCA260" s="565"/>
      <c r="GCB260" s="565"/>
      <c r="GCC260" s="565"/>
      <c r="GCD260" s="565"/>
      <c r="GCE260" s="565"/>
      <c r="GCF260" s="565"/>
      <c r="GCG260" s="565"/>
      <c r="GCH260" s="565"/>
      <c r="GCI260" s="565"/>
      <c r="GCJ260" s="566"/>
      <c r="GCK260" s="565"/>
      <c r="GCL260" s="565"/>
      <c r="GCM260" s="565"/>
      <c r="GCN260" s="565"/>
      <c r="GCO260" s="565"/>
      <c r="GCP260" s="565"/>
      <c r="GCQ260" s="565"/>
      <c r="GCR260" s="565"/>
      <c r="GCS260" s="565"/>
      <c r="GCT260" s="565"/>
      <c r="GCU260" s="565"/>
      <c r="GCV260" s="565"/>
      <c r="GCW260" s="565"/>
      <c r="GCX260" s="565"/>
      <c r="GCY260" s="565"/>
      <c r="GCZ260" s="565"/>
      <c r="GDA260" s="565"/>
      <c r="GDB260" s="565"/>
      <c r="GDC260" s="565"/>
      <c r="GDD260" s="566"/>
      <c r="GDE260" s="565"/>
      <c r="GDF260" s="565"/>
      <c r="GDG260" s="565"/>
      <c r="GDH260" s="565"/>
      <c r="GDI260" s="565"/>
      <c r="GDJ260" s="565"/>
      <c r="GDK260" s="565"/>
      <c r="GDL260" s="565"/>
      <c r="GDM260" s="565"/>
      <c r="GDN260" s="565"/>
      <c r="GDO260" s="565"/>
      <c r="GDP260" s="565"/>
      <c r="GDQ260" s="565"/>
      <c r="GDR260" s="565"/>
      <c r="GDS260" s="565"/>
      <c r="GDT260" s="565"/>
      <c r="GDU260" s="565"/>
      <c r="GDV260" s="565"/>
      <c r="GDW260" s="565"/>
      <c r="GDX260" s="566"/>
      <c r="GDY260" s="565"/>
      <c r="GDZ260" s="565"/>
      <c r="GEA260" s="565"/>
      <c r="GEB260" s="565"/>
      <c r="GEC260" s="565"/>
      <c r="GED260" s="565"/>
      <c r="GEE260" s="565"/>
      <c r="GEF260" s="565"/>
      <c r="GEG260" s="565"/>
      <c r="GEH260" s="565"/>
      <c r="GEI260" s="565"/>
      <c r="GEJ260" s="565"/>
      <c r="GEK260" s="565"/>
      <c r="GEL260" s="565"/>
      <c r="GEM260" s="565"/>
      <c r="GEN260" s="565"/>
      <c r="GEO260" s="565"/>
      <c r="GEP260" s="565"/>
      <c r="GEQ260" s="565"/>
      <c r="GER260" s="566"/>
      <c r="GES260" s="565"/>
      <c r="GET260" s="565"/>
      <c r="GEU260" s="565"/>
      <c r="GEV260" s="565"/>
      <c r="GEW260" s="565"/>
      <c r="GEX260" s="565"/>
      <c r="GEY260" s="565"/>
      <c r="GEZ260" s="565"/>
      <c r="GFA260" s="565"/>
      <c r="GFB260" s="565"/>
      <c r="GFC260" s="565"/>
      <c r="GFD260" s="565"/>
      <c r="GFE260" s="565"/>
      <c r="GFF260" s="565"/>
      <c r="GFG260" s="565"/>
      <c r="GFH260" s="565"/>
      <c r="GFI260" s="565"/>
      <c r="GFJ260" s="565"/>
      <c r="GFK260" s="565"/>
      <c r="GFL260" s="566"/>
      <c r="GFM260" s="565"/>
      <c r="GFN260" s="565"/>
      <c r="GFO260" s="565"/>
      <c r="GFP260" s="565"/>
      <c r="GFQ260" s="565"/>
      <c r="GFR260" s="565"/>
      <c r="GFS260" s="565"/>
      <c r="GFT260" s="565"/>
      <c r="GFU260" s="565"/>
      <c r="GFV260" s="565"/>
      <c r="GFW260" s="565"/>
      <c r="GFX260" s="565"/>
      <c r="GFY260" s="565"/>
      <c r="GFZ260" s="565"/>
      <c r="GGA260" s="565"/>
      <c r="GGB260" s="565"/>
      <c r="GGC260" s="565"/>
      <c r="GGD260" s="565"/>
      <c r="GGE260" s="565"/>
      <c r="GGF260" s="566"/>
      <c r="GGG260" s="565"/>
      <c r="GGH260" s="565"/>
      <c r="GGI260" s="565"/>
      <c r="GGJ260" s="565"/>
      <c r="GGK260" s="565"/>
      <c r="GGL260" s="565"/>
      <c r="GGM260" s="565"/>
      <c r="GGN260" s="565"/>
      <c r="GGO260" s="565"/>
      <c r="GGP260" s="565"/>
      <c r="GGQ260" s="565"/>
      <c r="GGR260" s="565"/>
      <c r="GGS260" s="565"/>
      <c r="GGT260" s="565"/>
      <c r="GGU260" s="565"/>
      <c r="GGV260" s="565"/>
      <c r="GGW260" s="565"/>
      <c r="GGX260" s="565"/>
      <c r="GGY260" s="565"/>
      <c r="GGZ260" s="566"/>
      <c r="GHA260" s="565"/>
      <c r="GHB260" s="565"/>
      <c r="GHC260" s="565"/>
      <c r="GHD260" s="565"/>
      <c r="GHE260" s="565"/>
      <c r="GHF260" s="565"/>
      <c r="GHG260" s="565"/>
      <c r="GHH260" s="565"/>
      <c r="GHI260" s="565"/>
      <c r="GHJ260" s="565"/>
      <c r="GHK260" s="565"/>
      <c r="GHL260" s="565"/>
      <c r="GHM260" s="565"/>
      <c r="GHN260" s="565"/>
      <c r="GHO260" s="565"/>
      <c r="GHP260" s="565"/>
      <c r="GHQ260" s="565"/>
      <c r="GHR260" s="565"/>
      <c r="GHS260" s="565"/>
      <c r="GHT260" s="566"/>
      <c r="GHU260" s="565"/>
      <c r="GHV260" s="565"/>
      <c r="GHW260" s="565"/>
      <c r="GHX260" s="565"/>
      <c r="GHY260" s="565"/>
      <c r="GHZ260" s="565"/>
      <c r="GIA260" s="565"/>
      <c r="GIB260" s="565"/>
      <c r="GIC260" s="565"/>
      <c r="GID260" s="565"/>
      <c r="GIE260" s="565"/>
      <c r="GIF260" s="565"/>
      <c r="GIG260" s="565"/>
      <c r="GIH260" s="565"/>
      <c r="GII260" s="565"/>
      <c r="GIJ260" s="565"/>
      <c r="GIK260" s="565"/>
      <c r="GIL260" s="565"/>
      <c r="GIM260" s="565"/>
      <c r="GIN260" s="566"/>
      <c r="GIO260" s="565"/>
      <c r="GIP260" s="565"/>
      <c r="GIQ260" s="565"/>
      <c r="GIR260" s="565"/>
      <c r="GIS260" s="565"/>
      <c r="GIT260" s="565"/>
      <c r="GIU260" s="565"/>
      <c r="GIV260" s="565"/>
      <c r="GIW260" s="565"/>
      <c r="GIX260" s="565"/>
      <c r="GIY260" s="565"/>
      <c r="GIZ260" s="565"/>
      <c r="GJA260" s="565"/>
      <c r="GJB260" s="565"/>
      <c r="GJC260" s="565"/>
      <c r="GJD260" s="565"/>
      <c r="GJE260" s="565"/>
      <c r="GJF260" s="565"/>
      <c r="GJG260" s="565"/>
      <c r="GJH260" s="566"/>
      <c r="GJI260" s="565"/>
      <c r="GJJ260" s="565"/>
      <c r="GJK260" s="565"/>
      <c r="GJL260" s="565"/>
      <c r="GJM260" s="565"/>
      <c r="GJN260" s="565"/>
      <c r="GJO260" s="565"/>
      <c r="GJP260" s="565"/>
      <c r="GJQ260" s="565"/>
      <c r="GJR260" s="565"/>
      <c r="GJS260" s="565"/>
      <c r="GJT260" s="565"/>
      <c r="GJU260" s="565"/>
      <c r="GJV260" s="565"/>
      <c r="GJW260" s="565"/>
      <c r="GJX260" s="565"/>
      <c r="GJY260" s="565"/>
      <c r="GJZ260" s="565"/>
      <c r="GKA260" s="565"/>
      <c r="GKB260" s="566"/>
      <c r="GKC260" s="565"/>
      <c r="GKD260" s="565"/>
      <c r="GKE260" s="565"/>
      <c r="GKF260" s="565"/>
      <c r="GKG260" s="565"/>
      <c r="GKH260" s="565"/>
      <c r="GKI260" s="565"/>
      <c r="GKJ260" s="565"/>
      <c r="GKK260" s="565"/>
      <c r="GKL260" s="565"/>
      <c r="GKM260" s="565"/>
      <c r="GKN260" s="565"/>
      <c r="GKO260" s="565"/>
      <c r="GKP260" s="565"/>
      <c r="GKQ260" s="565"/>
      <c r="GKR260" s="565"/>
      <c r="GKS260" s="565"/>
      <c r="GKT260" s="565"/>
      <c r="GKU260" s="565"/>
      <c r="GKV260" s="566"/>
      <c r="GKW260" s="565"/>
      <c r="GKX260" s="565"/>
      <c r="GKY260" s="565"/>
      <c r="GKZ260" s="565"/>
      <c r="GLA260" s="565"/>
      <c r="GLB260" s="565"/>
      <c r="GLC260" s="565"/>
      <c r="GLD260" s="565"/>
      <c r="GLE260" s="565"/>
      <c r="GLF260" s="565"/>
      <c r="GLG260" s="565"/>
      <c r="GLH260" s="565"/>
      <c r="GLI260" s="565"/>
      <c r="GLJ260" s="565"/>
      <c r="GLK260" s="565"/>
      <c r="GLL260" s="565"/>
      <c r="GLM260" s="565"/>
      <c r="GLN260" s="565"/>
      <c r="GLO260" s="565"/>
      <c r="GLP260" s="566"/>
      <c r="GLQ260" s="565"/>
      <c r="GLR260" s="565"/>
      <c r="GLS260" s="565"/>
      <c r="GLT260" s="565"/>
      <c r="GLU260" s="565"/>
      <c r="GLV260" s="565"/>
      <c r="GLW260" s="565"/>
      <c r="GLX260" s="565"/>
      <c r="GLY260" s="565"/>
      <c r="GLZ260" s="565"/>
      <c r="GMA260" s="565"/>
      <c r="GMB260" s="565"/>
      <c r="GMC260" s="565"/>
      <c r="GMD260" s="565"/>
      <c r="GME260" s="565"/>
      <c r="GMF260" s="565"/>
      <c r="GMG260" s="565"/>
      <c r="GMH260" s="565"/>
      <c r="GMI260" s="565"/>
      <c r="GMJ260" s="566"/>
      <c r="GMK260" s="565"/>
      <c r="GML260" s="565"/>
      <c r="GMM260" s="565"/>
      <c r="GMN260" s="565"/>
      <c r="GMO260" s="565"/>
      <c r="GMP260" s="565"/>
      <c r="GMQ260" s="565"/>
      <c r="GMR260" s="565"/>
      <c r="GMS260" s="565"/>
      <c r="GMT260" s="565"/>
      <c r="GMU260" s="565"/>
      <c r="GMV260" s="565"/>
      <c r="GMW260" s="565"/>
      <c r="GMX260" s="565"/>
      <c r="GMY260" s="565"/>
      <c r="GMZ260" s="565"/>
      <c r="GNA260" s="565"/>
      <c r="GNB260" s="565"/>
      <c r="GNC260" s="565"/>
      <c r="GND260" s="566"/>
      <c r="GNE260" s="565"/>
      <c r="GNF260" s="565"/>
      <c r="GNG260" s="565"/>
      <c r="GNH260" s="565"/>
      <c r="GNI260" s="565"/>
      <c r="GNJ260" s="565"/>
      <c r="GNK260" s="565"/>
      <c r="GNL260" s="565"/>
      <c r="GNM260" s="565"/>
      <c r="GNN260" s="565"/>
      <c r="GNO260" s="565"/>
      <c r="GNP260" s="565"/>
      <c r="GNQ260" s="565"/>
      <c r="GNR260" s="565"/>
      <c r="GNS260" s="565"/>
      <c r="GNT260" s="565"/>
      <c r="GNU260" s="565"/>
      <c r="GNV260" s="565"/>
      <c r="GNW260" s="565"/>
      <c r="GNX260" s="566"/>
      <c r="GNY260" s="565"/>
      <c r="GNZ260" s="565"/>
      <c r="GOA260" s="565"/>
      <c r="GOB260" s="565"/>
      <c r="GOC260" s="565"/>
      <c r="GOD260" s="565"/>
      <c r="GOE260" s="565"/>
      <c r="GOF260" s="565"/>
      <c r="GOG260" s="565"/>
      <c r="GOH260" s="565"/>
      <c r="GOI260" s="565"/>
      <c r="GOJ260" s="565"/>
      <c r="GOK260" s="565"/>
      <c r="GOL260" s="565"/>
      <c r="GOM260" s="565"/>
      <c r="GON260" s="565"/>
      <c r="GOO260" s="565"/>
      <c r="GOP260" s="565"/>
      <c r="GOQ260" s="565"/>
      <c r="GOR260" s="566"/>
      <c r="GOS260" s="565"/>
      <c r="GOT260" s="565"/>
      <c r="GOU260" s="565"/>
      <c r="GOV260" s="565"/>
      <c r="GOW260" s="565"/>
      <c r="GOX260" s="565"/>
      <c r="GOY260" s="565"/>
      <c r="GOZ260" s="565"/>
      <c r="GPA260" s="565"/>
      <c r="GPB260" s="565"/>
      <c r="GPC260" s="565"/>
      <c r="GPD260" s="565"/>
      <c r="GPE260" s="565"/>
      <c r="GPF260" s="565"/>
      <c r="GPG260" s="565"/>
      <c r="GPH260" s="565"/>
      <c r="GPI260" s="565"/>
      <c r="GPJ260" s="565"/>
      <c r="GPK260" s="565"/>
      <c r="GPL260" s="566"/>
      <c r="GPM260" s="565"/>
      <c r="GPN260" s="565"/>
      <c r="GPO260" s="565"/>
      <c r="GPP260" s="565"/>
      <c r="GPQ260" s="565"/>
      <c r="GPR260" s="565"/>
      <c r="GPS260" s="565"/>
      <c r="GPT260" s="565"/>
      <c r="GPU260" s="565"/>
      <c r="GPV260" s="565"/>
      <c r="GPW260" s="565"/>
      <c r="GPX260" s="565"/>
      <c r="GPY260" s="565"/>
      <c r="GPZ260" s="565"/>
      <c r="GQA260" s="565"/>
      <c r="GQB260" s="565"/>
      <c r="GQC260" s="565"/>
      <c r="GQD260" s="565"/>
      <c r="GQE260" s="565"/>
      <c r="GQF260" s="566"/>
      <c r="GQG260" s="565"/>
      <c r="GQH260" s="565"/>
      <c r="GQI260" s="565"/>
      <c r="GQJ260" s="565"/>
      <c r="GQK260" s="565"/>
      <c r="GQL260" s="565"/>
      <c r="GQM260" s="565"/>
      <c r="GQN260" s="565"/>
      <c r="GQO260" s="565"/>
      <c r="GQP260" s="565"/>
      <c r="GQQ260" s="565"/>
      <c r="GQR260" s="565"/>
      <c r="GQS260" s="565"/>
      <c r="GQT260" s="565"/>
      <c r="GQU260" s="565"/>
      <c r="GQV260" s="565"/>
      <c r="GQW260" s="565"/>
      <c r="GQX260" s="565"/>
      <c r="GQY260" s="565"/>
      <c r="GQZ260" s="566"/>
      <c r="GRA260" s="565"/>
      <c r="GRB260" s="565"/>
      <c r="GRC260" s="565"/>
      <c r="GRD260" s="565"/>
      <c r="GRE260" s="565"/>
      <c r="GRF260" s="565"/>
      <c r="GRG260" s="565"/>
      <c r="GRH260" s="565"/>
      <c r="GRI260" s="565"/>
      <c r="GRJ260" s="565"/>
      <c r="GRK260" s="565"/>
      <c r="GRL260" s="565"/>
      <c r="GRM260" s="565"/>
      <c r="GRN260" s="565"/>
      <c r="GRO260" s="565"/>
      <c r="GRP260" s="565"/>
      <c r="GRQ260" s="565"/>
      <c r="GRR260" s="565"/>
      <c r="GRS260" s="565"/>
      <c r="GRT260" s="566"/>
      <c r="GRU260" s="565"/>
      <c r="GRV260" s="565"/>
      <c r="GRW260" s="565"/>
      <c r="GRX260" s="565"/>
      <c r="GRY260" s="565"/>
      <c r="GRZ260" s="565"/>
      <c r="GSA260" s="565"/>
      <c r="GSB260" s="565"/>
      <c r="GSC260" s="565"/>
      <c r="GSD260" s="565"/>
      <c r="GSE260" s="565"/>
      <c r="GSF260" s="565"/>
      <c r="GSG260" s="565"/>
      <c r="GSH260" s="565"/>
      <c r="GSI260" s="565"/>
      <c r="GSJ260" s="565"/>
      <c r="GSK260" s="565"/>
      <c r="GSL260" s="565"/>
      <c r="GSM260" s="565"/>
      <c r="GSN260" s="566"/>
      <c r="GSO260" s="565"/>
      <c r="GSP260" s="565"/>
      <c r="GSQ260" s="565"/>
      <c r="GSR260" s="565"/>
      <c r="GSS260" s="565"/>
      <c r="GST260" s="565"/>
      <c r="GSU260" s="565"/>
      <c r="GSV260" s="565"/>
      <c r="GSW260" s="565"/>
      <c r="GSX260" s="565"/>
      <c r="GSY260" s="565"/>
      <c r="GSZ260" s="565"/>
      <c r="GTA260" s="565"/>
      <c r="GTB260" s="565"/>
      <c r="GTC260" s="565"/>
      <c r="GTD260" s="565"/>
      <c r="GTE260" s="565"/>
      <c r="GTF260" s="565"/>
      <c r="GTG260" s="565"/>
      <c r="GTH260" s="566"/>
      <c r="GTI260" s="565"/>
      <c r="GTJ260" s="565"/>
      <c r="GTK260" s="565"/>
      <c r="GTL260" s="565"/>
      <c r="GTM260" s="565"/>
      <c r="GTN260" s="565"/>
      <c r="GTO260" s="565"/>
      <c r="GTP260" s="565"/>
      <c r="GTQ260" s="565"/>
      <c r="GTR260" s="565"/>
      <c r="GTS260" s="565"/>
      <c r="GTT260" s="565"/>
      <c r="GTU260" s="565"/>
      <c r="GTV260" s="565"/>
      <c r="GTW260" s="565"/>
      <c r="GTX260" s="565"/>
      <c r="GTY260" s="565"/>
      <c r="GTZ260" s="565"/>
      <c r="GUA260" s="565"/>
      <c r="GUB260" s="566"/>
      <c r="GUC260" s="565"/>
      <c r="GUD260" s="565"/>
      <c r="GUE260" s="565"/>
      <c r="GUF260" s="565"/>
      <c r="GUG260" s="565"/>
      <c r="GUH260" s="565"/>
      <c r="GUI260" s="565"/>
      <c r="GUJ260" s="565"/>
      <c r="GUK260" s="565"/>
      <c r="GUL260" s="565"/>
      <c r="GUM260" s="565"/>
      <c r="GUN260" s="565"/>
      <c r="GUO260" s="565"/>
      <c r="GUP260" s="565"/>
      <c r="GUQ260" s="565"/>
      <c r="GUR260" s="565"/>
      <c r="GUS260" s="565"/>
      <c r="GUT260" s="565"/>
      <c r="GUU260" s="565"/>
      <c r="GUV260" s="566"/>
      <c r="GUW260" s="565"/>
      <c r="GUX260" s="565"/>
      <c r="GUY260" s="565"/>
      <c r="GUZ260" s="565"/>
      <c r="GVA260" s="565"/>
      <c r="GVB260" s="565"/>
      <c r="GVC260" s="565"/>
      <c r="GVD260" s="565"/>
      <c r="GVE260" s="565"/>
      <c r="GVF260" s="565"/>
      <c r="GVG260" s="565"/>
      <c r="GVH260" s="565"/>
      <c r="GVI260" s="565"/>
      <c r="GVJ260" s="565"/>
      <c r="GVK260" s="565"/>
      <c r="GVL260" s="565"/>
      <c r="GVM260" s="565"/>
      <c r="GVN260" s="565"/>
      <c r="GVO260" s="565"/>
      <c r="GVP260" s="566"/>
      <c r="GVQ260" s="565"/>
      <c r="GVR260" s="565"/>
      <c r="GVS260" s="565"/>
      <c r="GVT260" s="565"/>
      <c r="GVU260" s="565"/>
      <c r="GVV260" s="565"/>
      <c r="GVW260" s="565"/>
      <c r="GVX260" s="565"/>
      <c r="GVY260" s="565"/>
      <c r="GVZ260" s="565"/>
      <c r="GWA260" s="565"/>
      <c r="GWB260" s="565"/>
      <c r="GWC260" s="565"/>
      <c r="GWD260" s="565"/>
      <c r="GWE260" s="565"/>
      <c r="GWF260" s="565"/>
      <c r="GWG260" s="565"/>
      <c r="GWH260" s="565"/>
      <c r="GWI260" s="565"/>
      <c r="GWJ260" s="566"/>
      <c r="GWK260" s="565"/>
      <c r="GWL260" s="565"/>
      <c r="GWM260" s="565"/>
      <c r="GWN260" s="565"/>
      <c r="GWO260" s="565"/>
      <c r="GWP260" s="565"/>
      <c r="GWQ260" s="565"/>
      <c r="GWR260" s="565"/>
      <c r="GWS260" s="565"/>
      <c r="GWT260" s="565"/>
      <c r="GWU260" s="565"/>
      <c r="GWV260" s="565"/>
      <c r="GWW260" s="565"/>
      <c r="GWX260" s="565"/>
      <c r="GWY260" s="565"/>
      <c r="GWZ260" s="565"/>
      <c r="GXA260" s="565"/>
      <c r="GXB260" s="565"/>
      <c r="GXC260" s="565"/>
      <c r="GXD260" s="566"/>
      <c r="GXE260" s="565"/>
      <c r="GXF260" s="565"/>
      <c r="GXG260" s="565"/>
      <c r="GXH260" s="565"/>
      <c r="GXI260" s="565"/>
      <c r="GXJ260" s="565"/>
      <c r="GXK260" s="565"/>
      <c r="GXL260" s="565"/>
      <c r="GXM260" s="565"/>
      <c r="GXN260" s="565"/>
      <c r="GXO260" s="565"/>
      <c r="GXP260" s="565"/>
      <c r="GXQ260" s="565"/>
      <c r="GXR260" s="565"/>
      <c r="GXS260" s="565"/>
      <c r="GXT260" s="565"/>
      <c r="GXU260" s="565"/>
      <c r="GXV260" s="565"/>
      <c r="GXW260" s="565"/>
      <c r="GXX260" s="566"/>
      <c r="GXY260" s="565"/>
      <c r="GXZ260" s="565"/>
      <c r="GYA260" s="565"/>
      <c r="GYB260" s="565"/>
      <c r="GYC260" s="565"/>
      <c r="GYD260" s="565"/>
      <c r="GYE260" s="565"/>
      <c r="GYF260" s="565"/>
      <c r="GYG260" s="565"/>
      <c r="GYH260" s="565"/>
      <c r="GYI260" s="565"/>
      <c r="GYJ260" s="565"/>
      <c r="GYK260" s="565"/>
      <c r="GYL260" s="565"/>
      <c r="GYM260" s="565"/>
      <c r="GYN260" s="565"/>
      <c r="GYO260" s="565"/>
      <c r="GYP260" s="565"/>
      <c r="GYQ260" s="565"/>
      <c r="GYR260" s="566"/>
      <c r="GYS260" s="565"/>
      <c r="GYT260" s="565"/>
      <c r="GYU260" s="565"/>
      <c r="GYV260" s="565"/>
      <c r="GYW260" s="565"/>
      <c r="GYX260" s="565"/>
      <c r="GYY260" s="565"/>
      <c r="GYZ260" s="565"/>
      <c r="GZA260" s="565"/>
      <c r="GZB260" s="565"/>
      <c r="GZC260" s="565"/>
      <c r="GZD260" s="565"/>
      <c r="GZE260" s="565"/>
      <c r="GZF260" s="565"/>
      <c r="GZG260" s="565"/>
      <c r="GZH260" s="565"/>
      <c r="GZI260" s="565"/>
      <c r="GZJ260" s="565"/>
      <c r="GZK260" s="565"/>
      <c r="GZL260" s="566"/>
      <c r="GZM260" s="565"/>
      <c r="GZN260" s="565"/>
      <c r="GZO260" s="565"/>
      <c r="GZP260" s="565"/>
      <c r="GZQ260" s="565"/>
      <c r="GZR260" s="565"/>
      <c r="GZS260" s="565"/>
      <c r="GZT260" s="565"/>
      <c r="GZU260" s="565"/>
      <c r="GZV260" s="565"/>
      <c r="GZW260" s="565"/>
      <c r="GZX260" s="565"/>
      <c r="GZY260" s="565"/>
      <c r="GZZ260" s="565"/>
      <c r="HAA260" s="565"/>
      <c r="HAB260" s="565"/>
      <c r="HAC260" s="565"/>
      <c r="HAD260" s="565"/>
      <c r="HAE260" s="565"/>
      <c r="HAF260" s="566"/>
      <c r="HAG260" s="565"/>
      <c r="HAH260" s="565"/>
      <c r="HAI260" s="565"/>
      <c r="HAJ260" s="565"/>
      <c r="HAK260" s="565"/>
      <c r="HAL260" s="565"/>
      <c r="HAM260" s="565"/>
      <c r="HAN260" s="565"/>
      <c r="HAO260" s="565"/>
      <c r="HAP260" s="565"/>
      <c r="HAQ260" s="565"/>
      <c r="HAR260" s="565"/>
      <c r="HAS260" s="565"/>
      <c r="HAT260" s="565"/>
      <c r="HAU260" s="565"/>
      <c r="HAV260" s="565"/>
      <c r="HAW260" s="565"/>
      <c r="HAX260" s="565"/>
      <c r="HAY260" s="565"/>
      <c r="HAZ260" s="566"/>
      <c r="HBA260" s="565"/>
      <c r="HBB260" s="565"/>
      <c r="HBC260" s="565"/>
      <c r="HBD260" s="565"/>
      <c r="HBE260" s="565"/>
      <c r="HBF260" s="565"/>
      <c r="HBG260" s="565"/>
      <c r="HBH260" s="565"/>
      <c r="HBI260" s="565"/>
      <c r="HBJ260" s="565"/>
      <c r="HBK260" s="565"/>
      <c r="HBL260" s="565"/>
      <c r="HBM260" s="565"/>
      <c r="HBN260" s="565"/>
      <c r="HBO260" s="565"/>
      <c r="HBP260" s="565"/>
      <c r="HBQ260" s="565"/>
      <c r="HBR260" s="565"/>
      <c r="HBS260" s="565"/>
      <c r="HBT260" s="566"/>
      <c r="HBU260" s="565"/>
      <c r="HBV260" s="565"/>
      <c r="HBW260" s="565"/>
      <c r="HBX260" s="565"/>
      <c r="HBY260" s="565"/>
      <c r="HBZ260" s="565"/>
      <c r="HCA260" s="565"/>
      <c r="HCB260" s="565"/>
      <c r="HCC260" s="565"/>
      <c r="HCD260" s="565"/>
      <c r="HCE260" s="565"/>
      <c r="HCF260" s="565"/>
      <c r="HCG260" s="565"/>
      <c r="HCH260" s="565"/>
      <c r="HCI260" s="565"/>
      <c r="HCJ260" s="565"/>
      <c r="HCK260" s="565"/>
      <c r="HCL260" s="565"/>
      <c r="HCM260" s="565"/>
      <c r="HCN260" s="566"/>
      <c r="HCO260" s="565"/>
      <c r="HCP260" s="565"/>
      <c r="HCQ260" s="565"/>
      <c r="HCR260" s="565"/>
      <c r="HCS260" s="565"/>
      <c r="HCT260" s="565"/>
      <c r="HCU260" s="565"/>
      <c r="HCV260" s="565"/>
      <c r="HCW260" s="565"/>
      <c r="HCX260" s="565"/>
      <c r="HCY260" s="565"/>
      <c r="HCZ260" s="565"/>
      <c r="HDA260" s="565"/>
      <c r="HDB260" s="565"/>
      <c r="HDC260" s="565"/>
      <c r="HDD260" s="565"/>
      <c r="HDE260" s="565"/>
      <c r="HDF260" s="565"/>
      <c r="HDG260" s="565"/>
      <c r="HDH260" s="566"/>
      <c r="HDI260" s="565"/>
      <c r="HDJ260" s="565"/>
      <c r="HDK260" s="565"/>
      <c r="HDL260" s="565"/>
      <c r="HDM260" s="565"/>
      <c r="HDN260" s="565"/>
      <c r="HDO260" s="565"/>
      <c r="HDP260" s="565"/>
      <c r="HDQ260" s="565"/>
      <c r="HDR260" s="565"/>
      <c r="HDS260" s="565"/>
      <c r="HDT260" s="565"/>
      <c r="HDU260" s="565"/>
      <c r="HDV260" s="565"/>
      <c r="HDW260" s="565"/>
      <c r="HDX260" s="565"/>
      <c r="HDY260" s="565"/>
      <c r="HDZ260" s="565"/>
      <c r="HEA260" s="565"/>
      <c r="HEB260" s="566"/>
      <c r="HEC260" s="565"/>
      <c r="HED260" s="565"/>
      <c r="HEE260" s="565"/>
      <c r="HEF260" s="565"/>
      <c r="HEG260" s="565"/>
      <c r="HEH260" s="565"/>
      <c r="HEI260" s="565"/>
      <c r="HEJ260" s="565"/>
      <c r="HEK260" s="565"/>
      <c r="HEL260" s="565"/>
      <c r="HEM260" s="565"/>
      <c r="HEN260" s="565"/>
      <c r="HEO260" s="565"/>
      <c r="HEP260" s="565"/>
      <c r="HEQ260" s="565"/>
      <c r="HER260" s="565"/>
      <c r="HES260" s="565"/>
      <c r="HET260" s="565"/>
      <c r="HEU260" s="565"/>
      <c r="HEV260" s="566"/>
      <c r="HEW260" s="565"/>
      <c r="HEX260" s="565"/>
      <c r="HEY260" s="565"/>
      <c r="HEZ260" s="565"/>
      <c r="HFA260" s="565"/>
      <c r="HFB260" s="565"/>
      <c r="HFC260" s="565"/>
      <c r="HFD260" s="565"/>
      <c r="HFE260" s="565"/>
      <c r="HFF260" s="565"/>
      <c r="HFG260" s="565"/>
      <c r="HFH260" s="565"/>
      <c r="HFI260" s="565"/>
      <c r="HFJ260" s="565"/>
      <c r="HFK260" s="565"/>
      <c r="HFL260" s="565"/>
      <c r="HFM260" s="565"/>
      <c r="HFN260" s="565"/>
      <c r="HFO260" s="565"/>
      <c r="HFP260" s="566"/>
      <c r="HFQ260" s="565"/>
      <c r="HFR260" s="565"/>
      <c r="HFS260" s="565"/>
      <c r="HFT260" s="565"/>
      <c r="HFU260" s="565"/>
      <c r="HFV260" s="565"/>
      <c r="HFW260" s="565"/>
      <c r="HFX260" s="565"/>
      <c r="HFY260" s="565"/>
      <c r="HFZ260" s="565"/>
      <c r="HGA260" s="565"/>
      <c r="HGB260" s="565"/>
      <c r="HGC260" s="565"/>
      <c r="HGD260" s="565"/>
      <c r="HGE260" s="565"/>
      <c r="HGF260" s="565"/>
      <c r="HGG260" s="565"/>
      <c r="HGH260" s="565"/>
      <c r="HGI260" s="565"/>
      <c r="HGJ260" s="566"/>
      <c r="HGK260" s="565"/>
      <c r="HGL260" s="565"/>
      <c r="HGM260" s="565"/>
      <c r="HGN260" s="565"/>
      <c r="HGO260" s="565"/>
      <c r="HGP260" s="565"/>
      <c r="HGQ260" s="565"/>
      <c r="HGR260" s="565"/>
      <c r="HGS260" s="565"/>
      <c r="HGT260" s="565"/>
      <c r="HGU260" s="565"/>
      <c r="HGV260" s="565"/>
      <c r="HGW260" s="565"/>
      <c r="HGX260" s="565"/>
      <c r="HGY260" s="565"/>
      <c r="HGZ260" s="565"/>
      <c r="HHA260" s="565"/>
      <c r="HHB260" s="565"/>
      <c r="HHC260" s="565"/>
      <c r="HHD260" s="566"/>
      <c r="HHE260" s="565"/>
      <c r="HHF260" s="565"/>
      <c r="HHG260" s="565"/>
      <c r="HHH260" s="565"/>
      <c r="HHI260" s="565"/>
      <c r="HHJ260" s="565"/>
      <c r="HHK260" s="565"/>
      <c r="HHL260" s="565"/>
      <c r="HHM260" s="565"/>
      <c r="HHN260" s="565"/>
      <c r="HHO260" s="565"/>
      <c r="HHP260" s="565"/>
      <c r="HHQ260" s="565"/>
      <c r="HHR260" s="565"/>
      <c r="HHS260" s="565"/>
      <c r="HHT260" s="565"/>
      <c r="HHU260" s="565"/>
      <c r="HHV260" s="565"/>
      <c r="HHW260" s="565"/>
      <c r="HHX260" s="566"/>
      <c r="HHY260" s="565"/>
      <c r="HHZ260" s="565"/>
      <c r="HIA260" s="565"/>
      <c r="HIB260" s="565"/>
      <c r="HIC260" s="565"/>
      <c r="HID260" s="565"/>
      <c r="HIE260" s="565"/>
      <c r="HIF260" s="565"/>
      <c r="HIG260" s="565"/>
      <c r="HIH260" s="565"/>
      <c r="HII260" s="565"/>
      <c r="HIJ260" s="565"/>
      <c r="HIK260" s="565"/>
      <c r="HIL260" s="565"/>
      <c r="HIM260" s="565"/>
      <c r="HIN260" s="565"/>
      <c r="HIO260" s="565"/>
      <c r="HIP260" s="565"/>
      <c r="HIQ260" s="565"/>
      <c r="HIR260" s="566"/>
      <c r="HIS260" s="565"/>
      <c r="HIT260" s="565"/>
      <c r="HIU260" s="565"/>
      <c r="HIV260" s="565"/>
      <c r="HIW260" s="565"/>
      <c r="HIX260" s="565"/>
      <c r="HIY260" s="565"/>
      <c r="HIZ260" s="565"/>
      <c r="HJA260" s="565"/>
      <c r="HJB260" s="565"/>
      <c r="HJC260" s="565"/>
      <c r="HJD260" s="565"/>
      <c r="HJE260" s="565"/>
      <c r="HJF260" s="565"/>
      <c r="HJG260" s="565"/>
      <c r="HJH260" s="565"/>
      <c r="HJI260" s="565"/>
      <c r="HJJ260" s="565"/>
      <c r="HJK260" s="565"/>
      <c r="HJL260" s="566"/>
      <c r="HJM260" s="565"/>
      <c r="HJN260" s="565"/>
      <c r="HJO260" s="565"/>
      <c r="HJP260" s="565"/>
      <c r="HJQ260" s="565"/>
      <c r="HJR260" s="565"/>
      <c r="HJS260" s="565"/>
      <c r="HJT260" s="565"/>
      <c r="HJU260" s="565"/>
      <c r="HJV260" s="565"/>
      <c r="HJW260" s="565"/>
      <c r="HJX260" s="565"/>
      <c r="HJY260" s="565"/>
      <c r="HJZ260" s="565"/>
      <c r="HKA260" s="565"/>
      <c r="HKB260" s="565"/>
      <c r="HKC260" s="565"/>
      <c r="HKD260" s="565"/>
      <c r="HKE260" s="565"/>
      <c r="HKF260" s="566"/>
      <c r="HKG260" s="565"/>
      <c r="HKH260" s="565"/>
      <c r="HKI260" s="565"/>
      <c r="HKJ260" s="565"/>
      <c r="HKK260" s="565"/>
      <c r="HKL260" s="565"/>
      <c r="HKM260" s="565"/>
      <c r="HKN260" s="565"/>
      <c r="HKO260" s="565"/>
      <c r="HKP260" s="565"/>
      <c r="HKQ260" s="565"/>
      <c r="HKR260" s="565"/>
      <c r="HKS260" s="565"/>
      <c r="HKT260" s="565"/>
      <c r="HKU260" s="565"/>
      <c r="HKV260" s="565"/>
      <c r="HKW260" s="565"/>
      <c r="HKX260" s="565"/>
      <c r="HKY260" s="565"/>
      <c r="HKZ260" s="566"/>
      <c r="HLA260" s="565"/>
      <c r="HLB260" s="565"/>
      <c r="HLC260" s="565"/>
      <c r="HLD260" s="565"/>
      <c r="HLE260" s="565"/>
      <c r="HLF260" s="565"/>
      <c r="HLG260" s="565"/>
      <c r="HLH260" s="565"/>
      <c r="HLI260" s="565"/>
      <c r="HLJ260" s="565"/>
      <c r="HLK260" s="565"/>
      <c r="HLL260" s="565"/>
      <c r="HLM260" s="565"/>
      <c r="HLN260" s="565"/>
      <c r="HLO260" s="565"/>
      <c r="HLP260" s="565"/>
      <c r="HLQ260" s="565"/>
      <c r="HLR260" s="565"/>
      <c r="HLS260" s="565"/>
      <c r="HLT260" s="566"/>
      <c r="HLU260" s="565"/>
      <c r="HLV260" s="565"/>
      <c r="HLW260" s="565"/>
      <c r="HLX260" s="565"/>
      <c r="HLY260" s="565"/>
      <c r="HLZ260" s="565"/>
      <c r="HMA260" s="565"/>
      <c r="HMB260" s="565"/>
      <c r="HMC260" s="565"/>
      <c r="HMD260" s="565"/>
      <c r="HME260" s="565"/>
      <c r="HMF260" s="565"/>
      <c r="HMG260" s="565"/>
      <c r="HMH260" s="565"/>
      <c r="HMI260" s="565"/>
      <c r="HMJ260" s="565"/>
      <c r="HMK260" s="565"/>
      <c r="HML260" s="565"/>
      <c r="HMM260" s="565"/>
      <c r="HMN260" s="566"/>
      <c r="HMO260" s="565"/>
      <c r="HMP260" s="565"/>
      <c r="HMQ260" s="565"/>
      <c r="HMR260" s="565"/>
      <c r="HMS260" s="565"/>
      <c r="HMT260" s="565"/>
      <c r="HMU260" s="565"/>
      <c r="HMV260" s="565"/>
      <c r="HMW260" s="565"/>
      <c r="HMX260" s="565"/>
      <c r="HMY260" s="565"/>
      <c r="HMZ260" s="565"/>
      <c r="HNA260" s="565"/>
      <c r="HNB260" s="565"/>
      <c r="HNC260" s="565"/>
      <c r="HND260" s="565"/>
      <c r="HNE260" s="565"/>
      <c r="HNF260" s="565"/>
      <c r="HNG260" s="565"/>
      <c r="HNH260" s="566"/>
      <c r="HNI260" s="565"/>
      <c r="HNJ260" s="565"/>
      <c r="HNK260" s="565"/>
      <c r="HNL260" s="565"/>
      <c r="HNM260" s="565"/>
      <c r="HNN260" s="565"/>
      <c r="HNO260" s="565"/>
      <c r="HNP260" s="565"/>
      <c r="HNQ260" s="565"/>
      <c r="HNR260" s="565"/>
      <c r="HNS260" s="565"/>
      <c r="HNT260" s="565"/>
      <c r="HNU260" s="565"/>
      <c r="HNV260" s="565"/>
      <c r="HNW260" s="565"/>
      <c r="HNX260" s="565"/>
      <c r="HNY260" s="565"/>
      <c r="HNZ260" s="565"/>
      <c r="HOA260" s="565"/>
      <c r="HOB260" s="566"/>
      <c r="HOC260" s="565"/>
      <c r="HOD260" s="565"/>
      <c r="HOE260" s="565"/>
      <c r="HOF260" s="565"/>
      <c r="HOG260" s="565"/>
      <c r="HOH260" s="565"/>
      <c r="HOI260" s="565"/>
      <c r="HOJ260" s="565"/>
      <c r="HOK260" s="565"/>
      <c r="HOL260" s="565"/>
      <c r="HOM260" s="565"/>
      <c r="HON260" s="565"/>
      <c r="HOO260" s="565"/>
      <c r="HOP260" s="565"/>
      <c r="HOQ260" s="565"/>
      <c r="HOR260" s="565"/>
      <c r="HOS260" s="565"/>
      <c r="HOT260" s="565"/>
      <c r="HOU260" s="565"/>
      <c r="HOV260" s="566"/>
      <c r="HOW260" s="565"/>
      <c r="HOX260" s="565"/>
      <c r="HOY260" s="565"/>
      <c r="HOZ260" s="565"/>
      <c r="HPA260" s="565"/>
      <c r="HPB260" s="565"/>
      <c r="HPC260" s="565"/>
      <c r="HPD260" s="565"/>
      <c r="HPE260" s="565"/>
      <c r="HPF260" s="565"/>
      <c r="HPG260" s="565"/>
      <c r="HPH260" s="565"/>
      <c r="HPI260" s="565"/>
      <c r="HPJ260" s="565"/>
      <c r="HPK260" s="565"/>
      <c r="HPL260" s="565"/>
      <c r="HPM260" s="565"/>
      <c r="HPN260" s="565"/>
      <c r="HPO260" s="565"/>
      <c r="HPP260" s="566"/>
      <c r="HPQ260" s="565"/>
      <c r="HPR260" s="565"/>
      <c r="HPS260" s="565"/>
      <c r="HPT260" s="565"/>
      <c r="HPU260" s="565"/>
      <c r="HPV260" s="565"/>
      <c r="HPW260" s="565"/>
      <c r="HPX260" s="565"/>
      <c r="HPY260" s="565"/>
      <c r="HPZ260" s="565"/>
      <c r="HQA260" s="565"/>
      <c r="HQB260" s="565"/>
      <c r="HQC260" s="565"/>
      <c r="HQD260" s="565"/>
      <c r="HQE260" s="565"/>
      <c r="HQF260" s="565"/>
      <c r="HQG260" s="565"/>
      <c r="HQH260" s="565"/>
      <c r="HQI260" s="565"/>
      <c r="HQJ260" s="566"/>
      <c r="HQK260" s="565"/>
      <c r="HQL260" s="565"/>
      <c r="HQM260" s="565"/>
      <c r="HQN260" s="565"/>
      <c r="HQO260" s="565"/>
      <c r="HQP260" s="565"/>
      <c r="HQQ260" s="565"/>
      <c r="HQR260" s="565"/>
      <c r="HQS260" s="565"/>
      <c r="HQT260" s="565"/>
      <c r="HQU260" s="565"/>
      <c r="HQV260" s="565"/>
      <c r="HQW260" s="565"/>
      <c r="HQX260" s="565"/>
      <c r="HQY260" s="565"/>
      <c r="HQZ260" s="565"/>
      <c r="HRA260" s="565"/>
      <c r="HRB260" s="565"/>
      <c r="HRC260" s="565"/>
      <c r="HRD260" s="566"/>
      <c r="HRE260" s="565"/>
      <c r="HRF260" s="565"/>
      <c r="HRG260" s="565"/>
      <c r="HRH260" s="565"/>
      <c r="HRI260" s="565"/>
      <c r="HRJ260" s="565"/>
      <c r="HRK260" s="565"/>
      <c r="HRL260" s="565"/>
      <c r="HRM260" s="565"/>
      <c r="HRN260" s="565"/>
      <c r="HRO260" s="565"/>
      <c r="HRP260" s="565"/>
      <c r="HRQ260" s="565"/>
      <c r="HRR260" s="565"/>
      <c r="HRS260" s="565"/>
      <c r="HRT260" s="565"/>
      <c r="HRU260" s="565"/>
      <c r="HRV260" s="565"/>
      <c r="HRW260" s="565"/>
      <c r="HRX260" s="566"/>
      <c r="HRY260" s="565"/>
      <c r="HRZ260" s="565"/>
      <c r="HSA260" s="565"/>
      <c r="HSB260" s="565"/>
      <c r="HSC260" s="565"/>
      <c r="HSD260" s="565"/>
      <c r="HSE260" s="565"/>
      <c r="HSF260" s="565"/>
      <c r="HSG260" s="565"/>
      <c r="HSH260" s="565"/>
      <c r="HSI260" s="565"/>
      <c r="HSJ260" s="565"/>
      <c r="HSK260" s="565"/>
      <c r="HSL260" s="565"/>
      <c r="HSM260" s="565"/>
      <c r="HSN260" s="565"/>
      <c r="HSO260" s="565"/>
      <c r="HSP260" s="565"/>
      <c r="HSQ260" s="565"/>
      <c r="HSR260" s="566"/>
      <c r="HSS260" s="565"/>
      <c r="HST260" s="565"/>
      <c r="HSU260" s="565"/>
      <c r="HSV260" s="565"/>
      <c r="HSW260" s="565"/>
      <c r="HSX260" s="565"/>
      <c r="HSY260" s="565"/>
      <c r="HSZ260" s="565"/>
      <c r="HTA260" s="565"/>
      <c r="HTB260" s="565"/>
      <c r="HTC260" s="565"/>
      <c r="HTD260" s="565"/>
      <c r="HTE260" s="565"/>
      <c r="HTF260" s="565"/>
      <c r="HTG260" s="565"/>
      <c r="HTH260" s="565"/>
      <c r="HTI260" s="565"/>
      <c r="HTJ260" s="565"/>
      <c r="HTK260" s="565"/>
      <c r="HTL260" s="566"/>
      <c r="HTM260" s="565"/>
      <c r="HTN260" s="565"/>
      <c r="HTO260" s="565"/>
      <c r="HTP260" s="565"/>
      <c r="HTQ260" s="565"/>
      <c r="HTR260" s="565"/>
      <c r="HTS260" s="565"/>
      <c r="HTT260" s="565"/>
      <c r="HTU260" s="565"/>
      <c r="HTV260" s="565"/>
      <c r="HTW260" s="565"/>
      <c r="HTX260" s="565"/>
      <c r="HTY260" s="565"/>
      <c r="HTZ260" s="565"/>
      <c r="HUA260" s="565"/>
      <c r="HUB260" s="565"/>
      <c r="HUC260" s="565"/>
      <c r="HUD260" s="565"/>
      <c r="HUE260" s="565"/>
      <c r="HUF260" s="566"/>
      <c r="HUG260" s="565"/>
      <c r="HUH260" s="565"/>
      <c r="HUI260" s="565"/>
      <c r="HUJ260" s="565"/>
      <c r="HUK260" s="565"/>
      <c r="HUL260" s="565"/>
      <c r="HUM260" s="565"/>
      <c r="HUN260" s="565"/>
      <c r="HUO260" s="565"/>
      <c r="HUP260" s="565"/>
      <c r="HUQ260" s="565"/>
      <c r="HUR260" s="565"/>
      <c r="HUS260" s="565"/>
      <c r="HUT260" s="565"/>
      <c r="HUU260" s="565"/>
      <c r="HUV260" s="565"/>
      <c r="HUW260" s="565"/>
      <c r="HUX260" s="565"/>
      <c r="HUY260" s="565"/>
      <c r="HUZ260" s="566"/>
      <c r="HVA260" s="565"/>
      <c r="HVB260" s="565"/>
      <c r="HVC260" s="565"/>
      <c r="HVD260" s="565"/>
      <c r="HVE260" s="565"/>
      <c r="HVF260" s="565"/>
      <c r="HVG260" s="565"/>
      <c r="HVH260" s="565"/>
      <c r="HVI260" s="565"/>
      <c r="HVJ260" s="565"/>
      <c r="HVK260" s="565"/>
      <c r="HVL260" s="565"/>
      <c r="HVM260" s="565"/>
      <c r="HVN260" s="565"/>
      <c r="HVO260" s="565"/>
      <c r="HVP260" s="565"/>
      <c r="HVQ260" s="565"/>
      <c r="HVR260" s="565"/>
      <c r="HVS260" s="565"/>
      <c r="HVT260" s="566"/>
      <c r="HVU260" s="565"/>
      <c r="HVV260" s="565"/>
      <c r="HVW260" s="565"/>
      <c r="HVX260" s="565"/>
      <c r="HVY260" s="565"/>
      <c r="HVZ260" s="565"/>
      <c r="HWA260" s="565"/>
      <c r="HWB260" s="565"/>
      <c r="HWC260" s="565"/>
      <c r="HWD260" s="565"/>
      <c r="HWE260" s="565"/>
      <c r="HWF260" s="565"/>
      <c r="HWG260" s="565"/>
      <c r="HWH260" s="565"/>
      <c r="HWI260" s="565"/>
      <c r="HWJ260" s="565"/>
      <c r="HWK260" s="565"/>
      <c r="HWL260" s="565"/>
      <c r="HWM260" s="565"/>
      <c r="HWN260" s="566"/>
      <c r="HWO260" s="565"/>
      <c r="HWP260" s="565"/>
      <c r="HWQ260" s="565"/>
      <c r="HWR260" s="565"/>
      <c r="HWS260" s="565"/>
      <c r="HWT260" s="565"/>
      <c r="HWU260" s="565"/>
      <c r="HWV260" s="565"/>
      <c r="HWW260" s="565"/>
      <c r="HWX260" s="565"/>
      <c r="HWY260" s="565"/>
      <c r="HWZ260" s="565"/>
      <c r="HXA260" s="565"/>
      <c r="HXB260" s="565"/>
      <c r="HXC260" s="565"/>
      <c r="HXD260" s="565"/>
      <c r="HXE260" s="565"/>
      <c r="HXF260" s="565"/>
      <c r="HXG260" s="565"/>
      <c r="HXH260" s="566"/>
      <c r="HXI260" s="565"/>
      <c r="HXJ260" s="565"/>
      <c r="HXK260" s="565"/>
      <c r="HXL260" s="565"/>
      <c r="HXM260" s="565"/>
      <c r="HXN260" s="565"/>
      <c r="HXO260" s="565"/>
      <c r="HXP260" s="565"/>
      <c r="HXQ260" s="565"/>
      <c r="HXR260" s="565"/>
      <c r="HXS260" s="565"/>
      <c r="HXT260" s="565"/>
      <c r="HXU260" s="565"/>
      <c r="HXV260" s="565"/>
      <c r="HXW260" s="565"/>
      <c r="HXX260" s="565"/>
      <c r="HXY260" s="565"/>
      <c r="HXZ260" s="565"/>
      <c r="HYA260" s="565"/>
      <c r="HYB260" s="566"/>
      <c r="HYC260" s="565"/>
      <c r="HYD260" s="565"/>
      <c r="HYE260" s="565"/>
      <c r="HYF260" s="565"/>
      <c r="HYG260" s="565"/>
      <c r="HYH260" s="565"/>
      <c r="HYI260" s="565"/>
      <c r="HYJ260" s="565"/>
      <c r="HYK260" s="565"/>
      <c r="HYL260" s="565"/>
      <c r="HYM260" s="565"/>
      <c r="HYN260" s="565"/>
      <c r="HYO260" s="565"/>
      <c r="HYP260" s="565"/>
      <c r="HYQ260" s="565"/>
      <c r="HYR260" s="565"/>
      <c r="HYS260" s="565"/>
      <c r="HYT260" s="565"/>
      <c r="HYU260" s="565"/>
      <c r="HYV260" s="566"/>
      <c r="HYW260" s="565"/>
      <c r="HYX260" s="565"/>
      <c r="HYY260" s="565"/>
      <c r="HYZ260" s="565"/>
      <c r="HZA260" s="565"/>
      <c r="HZB260" s="565"/>
      <c r="HZC260" s="565"/>
      <c r="HZD260" s="565"/>
      <c r="HZE260" s="565"/>
      <c r="HZF260" s="565"/>
      <c r="HZG260" s="565"/>
      <c r="HZH260" s="565"/>
      <c r="HZI260" s="565"/>
      <c r="HZJ260" s="565"/>
      <c r="HZK260" s="565"/>
      <c r="HZL260" s="565"/>
      <c r="HZM260" s="565"/>
      <c r="HZN260" s="565"/>
      <c r="HZO260" s="565"/>
      <c r="HZP260" s="566"/>
      <c r="HZQ260" s="565"/>
      <c r="HZR260" s="565"/>
      <c r="HZS260" s="565"/>
      <c r="HZT260" s="565"/>
      <c r="HZU260" s="565"/>
      <c r="HZV260" s="565"/>
      <c r="HZW260" s="565"/>
      <c r="HZX260" s="565"/>
      <c r="HZY260" s="565"/>
      <c r="HZZ260" s="565"/>
      <c r="IAA260" s="565"/>
      <c r="IAB260" s="565"/>
      <c r="IAC260" s="565"/>
      <c r="IAD260" s="565"/>
      <c r="IAE260" s="565"/>
      <c r="IAF260" s="565"/>
      <c r="IAG260" s="565"/>
      <c r="IAH260" s="565"/>
      <c r="IAI260" s="565"/>
      <c r="IAJ260" s="566"/>
      <c r="IAK260" s="565"/>
      <c r="IAL260" s="565"/>
      <c r="IAM260" s="565"/>
      <c r="IAN260" s="565"/>
      <c r="IAO260" s="565"/>
      <c r="IAP260" s="565"/>
      <c r="IAQ260" s="565"/>
      <c r="IAR260" s="565"/>
      <c r="IAS260" s="565"/>
      <c r="IAT260" s="565"/>
      <c r="IAU260" s="565"/>
      <c r="IAV260" s="565"/>
      <c r="IAW260" s="565"/>
      <c r="IAX260" s="565"/>
      <c r="IAY260" s="565"/>
      <c r="IAZ260" s="565"/>
      <c r="IBA260" s="565"/>
      <c r="IBB260" s="565"/>
      <c r="IBC260" s="565"/>
      <c r="IBD260" s="566"/>
      <c r="IBE260" s="565"/>
      <c r="IBF260" s="565"/>
      <c r="IBG260" s="565"/>
      <c r="IBH260" s="565"/>
      <c r="IBI260" s="565"/>
      <c r="IBJ260" s="565"/>
      <c r="IBK260" s="565"/>
      <c r="IBL260" s="565"/>
      <c r="IBM260" s="565"/>
      <c r="IBN260" s="565"/>
      <c r="IBO260" s="565"/>
      <c r="IBP260" s="565"/>
      <c r="IBQ260" s="565"/>
      <c r="IBR260" s="565"/>
      <c r="IBS260" s="565"/>
      <c r="IBT260" s="565"/>
      <c r="IBU260" s="565"/>
      <c r="IBV260" s="565"/>
      <c r="IBW260" s="565"/>
      <c r="IBX260" s="566"/>
      <c r="IBY260" s="565"/>
      <c r="IBZ260" s="565"/>
      <c r="ICA260" s="565"/>
      <c r="ICB260" s="565"/>
      <c r="ICC260" s="565"/>
      <c r="ICD260" s="565"/>
      <c r="ICE260" s="565"/>
      <c r="ICF260" s="565"/>
      <c r="ICG260" s="565"/>
      <c r="ICH260" s="565"/>
      <c r="ICI260" s="565"/>
      <c r="ICJ260" s="565"/>
      <c r="ICK260" s="565"/>
      <c r="ICL260" s="565"/>
      <c r="ICM260" s="565"/>
      <c r="ICN260" s="565"/>
      <c r="ICO260" s="565"/>
      <c r="ICP260" s="565"/>
      <c r="ICQ260" s="565"/>
      <c r="ICR260" s="566"/>
      <c r="ICS260" s="565"/>
      <c r="ICT260" s="565"/>
      <c r="ICU260" s="565"/>
      <c r="ICV260" s="565"/>
      <c r="ICW260" s="565"/>
      <c r="ICX260" s="565"/>
      <c r="ICY260" s="565"/>
      <c r="ICZ260" s="565"/>
      <c r="IDA260" s="565"/>
      <c r="IDB260" s="565"/>
      <c r="IDC260" s="565"/>
      <c r="IDD260" s="565"/>
      <c r="IDE260" s="565"/>
      <c r="IDF260" s="565"/>
      <c r="IDG260" s="565"/>
      <c r="IDH260" s="565"/>
      <c r="IDI260" s="565"/>
      <c r="IDJ260" s="565"/>
      <c r="IDK260" s="565"/>
      <c r="IDL260" s="566"/>
      <c r="IDM260" s="565"/>
      <c r="IDN260" s="565"/>
      <c r="IDO260" s="565"/>
      <c r="IDP260" s="565"/>
      <c r="IDQ260" s="565"/>
      <c r="IDR260" s="565"/>
      <c r="IDS260" s="565"/>
      <c r="IDT260" s="565"/>
      <c r="IDU260" s="565"/>
      <c r="IDV260" s="565"/>
      <c r="IDW260" s="565"/>
      <c r="IDX260" s="565"/>
      <c r="IDY260" s="565"/>
      <c r="IDZ260" s="565"/>
      <c r="IEA260" s="565"/>
      <c r="IEB260" s="565"/>
      <c r="IEC260" s="565"/>
      <c r="IED260" s="565"/>
      <c r="IEE260" s="565"/>
      <c r="IEF260" s="566"/>
      <c r="IEG260" s="565"/>
      <c r="IEH260" s="565"/>
      <c r="IEI260" s="565"/>
      <c r="IEJ260" s="565"/>
      <c r="IEK260" s="565"/>
      <c r="IEL260" s="565"/>
      <c r="IEM260" s="565"/>
      <c r="IEN260" s="565"/>
      <c r="IEO260" s="565"/>
      <c r="IEP260" s="565"/>
      <c r="IEQ260" s="565"/>
      <c r="IER260" s="565"/>
      <c r="IES260" s="565"/>
      <c r="IET260" s="565"/>
      <c r="IEU260" s="565"/>
      <c r="IEV260" s="565"/>
      <c r="IEW260" s="565"/>
      <c r="IEX260" s="565"/>
      <c r="IEY260" s="565"/>
      <c r="IEZ260" s="566"/>
      <c r="IFA260" s="565"/>
      <c r="IFB260" s="565"/>
      <c r="IFC260" s="565"/>
      <c r="IFD260" s="565"/>
      <c r="IFE260" s="565"/>
      <c r="IFF260" s="565"/>
      <c r="IFG260" s="565"/>
      <c r="IFH260" s="565"/>
      <c r="IFI260" s="565"/>
      <c r="IFJ260" s="565"/>
      <c r="IFK260" s="565"/>
      <c r="IFL260" s="565"/>
      <c r="IFM260" s="565"/>
      <c r="IFN260" s="565"/>
      <c r="IFO260" s="565"/>
      <c r="IFP260" s="565"/>
      <c r="IFQ260" s="565"/>
      <c r="IFR260" s="565"/>
      <c r="IFS260" s="565"/>
      <c r="IFT260" s="566"/>
      <c r="IFU260" s="565"/>
      <c r="IFV260" s="565"/>
      <c r="IFW260" s="565"/>
      <c r="IFX260" s="565"/>
      <c r="IFY260" s="565"/>
      <c r="IFZ260" s="565"/>
      <c r="IGA260" s="565"/>
      <c r="IGB260" s="565"/>
      <c r="IGC260" s="565"/>
      <c r="IGD260" s="565"/>
      <c r="IGE260" s="565"/>
      <c r="IGF260" s="565"/>
      <c r="IGG260" s="565"/>
      <c r="IGH260" s="565"/>
      <c r="IGI260" s="565"/>
      <c r="IGJ260" s="565"/>
      <c r="IGK260" s="565"/>
      <c r="IGL260" s="565"/>
      <c r="IGM260" s="565"/>
      <c r="IGN260" s="566"/>
      <c r="IGO260" s="565"/>
      <c r="IGP260" s="565"/>
      <c r="IGQ260" s="565"/>
      <c r="IGR260" s="565"/>
      <c r="IGS260" s="565"/>
      <c r="IGT260" s="565"/>
      <c r="IGU260" s="565"/>
      <c r="IGV260" s="565"/>
      <c r="IGW260" s="565"/>
      <c r="IGX260" s="565"/>
      <c r="IGY260" s="565"/>
      <c r="IGZ260" s="565"/>
      <c r="IHA260" s="565"/>
      <c r="IHB260" s="565"/>
      <c r="IHC260" s="565"/>
      <c r="IHD260" s="565"/>
      <c r="IHE260" s="565"/>
      <c r="IHF260" s="565"/>
      <c r="IHG260" s="565"/>
      <c r="IHH260" s="566"/>
      <c r="IHI260" s="565"/>
      <c r="IHJ260" s="565"/>
      <c r="IHK260" s="565"/>
      <c r="IHL260" s="565"/>
      <c r="IHM260" s="565"/>
      <c r="IHN260" s="565"/>
      <c r="IHO260" s="565"/>
      <c r="IHP260" s="565"/>
      <c r="IHQ260" s="565"/>
      <c r="IHR260" s="565"/>
      <c r="IHS260" s="565"/>
      <c r="IHT260" s="565"/>
      <c r="IHU260" s="565"/>
      <c r="IHV260" s="565"/>
      <c r="IHW260" s="565"/>
      <c r="IHX260" s="565"/>
      <c r="IHY260" s="565"/>
      <c r="IHZ260" s="565"/>
      <c r="IIA260" s="565"/>
      <c r="IIB260" s="566"/>
      <c r="IIC260" s="565"/>
      <c r="IID260" s="565"/>
      <c r="IIE260" s="565"/>
      <c r="IIF260" s="565"/>
      <c r="IIG260" s="565"/>
      <c r="IIH260" s="565"/>
      <c r="III260" s="565"/>
      <c r="IIJ260" s="565"/>
      <c r="IIK260" s="565"/>
      <c r="IIL260" s="565"/>
      <c r="IIM260" s="565"/>
      <c r="IIN260" s="565"/>
      <c r="IIO260" s="565"/>
      <c r="IIP260" s="565"/>
      <c r="IIQ260" s="565"/>
      <c r="IIR260" s="565"/>
      <c r="IIS260" s="565"/>
      <c r="IIT260" s="565"/>
      <c r="IIU260" s="565"/>
      <c r="IIV260" s="566"/>
      <c r="IIW260" s="565"/>
      <c r="IIX260" s="565"/>
      <c r="IIY260" s="565"/>
      <c r="IIZ260" s="565"/>
      <c r="IJA260" s="565"/>
      <c r="IJB260" s="565"/>
      <c r="IJC260" s="565"/>
      <c r="IJD260" s="565"/>
      <c r="IJE260" s="565"/>
      <c r="IJF260" s="565"/>
      <c r="IJG260" s="565"/>
      <c r="IJH260" s="565"/>
      <c r="IJI260" s="565"/>
      <c r="IJJ260" s="565"/>
      <c r="IJK260" s="565"/>
      <c r="IJL260" s="565"/>
      <c r="IJM260" s="565"/>
      <c r="IJN260" s="565"/>
      <c r="IJO260" s="565"/>
      <c r="IJP260" s="566"/>
      <c r="IJQ260" s="565"/>
      <c r="IJR260" s="565"/>
      <c r="IJS260" s="565"/>
      <c r="IJT260" s="565"/>
      <c r="IJU260" s="565"/>
      <c r="IJV260" s="565"/>
      <c r="IJW260" s="565"/>
      <c r="IJX260" s="565"/>
      <c r="IJY260" s="565"/>
      <c r="IJZ260" s="565"/>
      <c r="IKA260" s="565"/>
      <c r="IKB260" s="565"/>
      <c r="IKC260" s="565"/>
      <c r="IKD260" s="565"/>
      <c r="IKE260" s="565"/>
      <c r="IKF260" s="565"/>
      <c r="IKG260" s="565"/>
      <c r="IKH260" s="565"/>
      <c r="IKI260" s="565"/>
      <c r="IKJ260" s="566"/>
      <c r="IKK260" s="565"/>
      <c r="IKL260" s="565"/>
      <c r="IKM260" s="565"/>
      <c r="IKN260" s="565"/>
      <c r="IKO260" s="565"/>
      <c r="IKP260" s="565"/>
      <c r="IKQ260" s="565"/>
      <c r="IKR260" s="565"/>
      <c r="IKS260" s="565"/>
      <c r="IKT260" s="565"/>
      <c r="IKU260" s="565"/>
      <c r="IKV260" s="565"/>
      <c r="IKW260" s="565"/>
      <c r="IKX260" s="565"/>
      <c r="IKY260" s="565"/>
      <c r="IKZ260" s="565"/>
      <c r="ILA260" s="565"/>
      <c r="ILB260" s="565"/>
      <c r="ILC260" s="565"/>
      <c r="ILD260" s="566"/>
      <c r="ILE260" s="565"/>
      <c r="ILF260" s="565"/>
      <c r="ILG260" s="565"/>
      <c r="ILH260" s="565"/>
      <c r="ILI260" s="565"/>
      <c r="ILJ260" s="565"/>
      <c r="ILK260" s="565"/>
      <c r="ILL260" s="565"/>
      <c r="ILM260" s="565"/>
      <c r="ILN260" s="565"/>
      <c r="ILO260" s="565"/>
      <c r="ILP260" s="565"/>
      <c r="ILQ260" s="565"/>
      <c r="ILR260" s="565"/>
      <c r="ILS260" s="565"/>
      <c r="ILT260" s="565"/>
      <c r="ILU260" s="565"/>
      <c r="ILV260" s="565"/>
      <c r="ILW260" s="565"/>
      <c r="ILX260" s="566"/>
      <c r="ILY260" s="565"/>
      <c r="ILZ260" s="565"/>
      <c r="IMA260" s="565"/>
      <c r="IMB260" s="565"/>
      <c r="IMC260" s="565"/>
      <c r="IMD260" s="565"/>
      <c r="IME260" s="565"/>
      <c r="IMF260" s="565"/>
      <c r="IMG260" s="565"/>
      <c r="IMH260" s="565"/>
      <c r="IMI260" s="565"/>
      <c r="IMJ260" s="565"/>
      <c r="IMK260" s="565"/>
      <c r="IML260" s="565"/>
      <c r="IMM260" s="565"/>
      <c r="IMN260" s="565"/>
      <c r="IMO260" s="565"/>
      <c r="IMP260" s="565"/>
      <c r="IMQ260" s="565"/>
      <c r="IMR260" s="566"/>
      <c r="IMS260" s="565"/>
      <c r="IMT260" s="565"/>
      <c r="IMU260" s="565"/>
      <c r="IMV260" s="565"/>
      <c r="IMW260" s="565"/>
      <c r="IMX260" s="565"/>
      <c r="IMY260" s="565"/>
      <c r="IMZ260" s="565"/>
      <c r="INA260" s="565"/>
      <c r="INB260" s="565"/>
      <c r="INC260" s="565"/>
      <c r="IND260" s="565"/>
      <c r="INE260" s="565"/>
      <c r="INF260" s="565"/>
      <c r="ING260" s="565"/>
      <c r="INH260" s="565"/>
      <c r="INI260" s="565"/>
      <c r="INJ260" s="565"/>
      <c r="INK260" s="565"/>
      <c r="INL260" s="566"/>
      <c r="INM260" s="565"/>
      <c r="INN260" s="565"/>
      <c r="INO260" s="565"/>
      <c r="INP260" s="565"/>
      <c r="INQ260" s="565"/>
      <c r="INR260" s="565"/>
      <c r="INS260" s="565"/>
      <c r="INT260" s="565"/>
      <c r="INU260" s="565"/>
      <c r="INV260" s="565"/>
      <c r="INW260" s="565"/>
      <c r="INX260" s="565"/>
      <c r="INY260" s="565"/>
      <c r="INZ260" s="565"/>
      <c r="IOA260" s="565"/>
      <c r="IOB260" s="565"/>
      <c r="IOC260" s="565"/>
      <c r="IOD260" s="565"/>
      <c r="IOE260" s="565"/>
      <c r="IOF260" s="566"/>
      <c r="IOG260" s="565"/>
      <c r="IOH260" s="565"/>
      <c r="IOI260" s="565"/>
      <c r="IOJ260" s="565"/>
      <c r="IOK260" s="565"/>
      <c r="IOL260" s="565"/>
      <c r="IOM260" s="565"/>
      <c r="ION260" s="565"/>
      <c r="IOO260" s="565"/>
      <c r="IOP260" s="565"/>
      <c r="IOQ260" s="565"/>
      <c r="IOR260" s="565"/>
      <c r="IOS260" s="565"/>
      <c r="IOT260" s="565"/>
      <c r="IOU260" s="565"/>
      <c r="IOV260" s="565"/>
      <c r="IOW260" s="565"/>
      <c r="IOX260" s="565"/>
      <c r="IOY260" s="565"/>
      <c r="IOZ260" s="566"/>
      <c r="IPA260" s="565"/>
      <c r="IPB260" s="565"/>
      <c r="IPC260" s="565"/>
      <c r="IPD260" s="565"/>
      <c r="IPE260" s="565"/>
      <c r="IPF260" s="565"/>
      <c r="IPG260" s="565"/>
      <c r="IPH260" s="565"/>
      <c r="IPI260" s="565"/>
      <c r="IPJ260" s="565"/>
      <c r="IPK260" s="565"/>
      <c r="IPL260" s="565"/>
      <c r="IPM260" s="565"/>
      <c r="IPN260" s="565"/>
      <c r="IPO260" s="565"/>
      <c r="IPP260" s="565"/>
      <c r="IPQ260" s="565"/>
      <c r="IPR260" s="565"/>
      <c r="IPS260" s="565"/>
      <c r="IPT260" s="566"/>
      <c r="IPU260" s="565"/>
      <c r="IPV260" s="565"/>
      <c r="IPW260" s="565"/>
      <c r="IPX260" s="565"/>
      <c r="IPY260" s="565"/>
      <c r="IPZ260" s="565"/>
      <c r="IQA260" s="565"/>
      <c r="IQB260" s="565"/>
      <c r="IQC260" s="565"/>
      <c r="IQD260" s="565"/>
      <c r="IQE260" s="565"/>
      <c r="IQF260" s="565"/>
      <c r="IQG260" s="565"/>
      <c r="IQH260" s="565"/>
      <c r="IQI260" s="565"/>
      <c r="IQJ260" s="565"/>
      <c r="IQK260" s="565"/>
      <c r="IQL260" s="565"/>
      <c r="IQM260" s="565"/>
      <c r="IQN260" s="566"/>
      <c r="IQO260" s="565"/>
      <c r="IQP260" s="565"/>
      <c r="IQQ260" s="565"/>
      <c r="IQR260" s="565"/>
      <c r="IQS260" s="565"/>
      <c r="IQT260" s="565"/>
      <c r="IQU260" s="565"/>
      <c r="IQV260" s="565"/>
      <c r="IQW260" s="565"/>
      <c r="IQX260" s="565"/>
      <c r="IQY260" s="565"/>
      <c r="IQZ260" s="565"/>
      <c r="IRA260" s="565"/>
      <c r="IRB260" s="565"/>
      <c r="IRC260" s="565"/>
      <c r="IRD260" s="565"/>
      <c r="IRE260" s="565"/>
      <c r="IRF260" s="565"/>
      <c r="IRG260" s="565"/>
      <c r="IRH260" s="566"/>
      <c r="IRI260" s="565"/>
      <c r="IRJ260" s="565"/>
      <c r="IRK260" s="565"/>
      <c r="IRL260" s="565"/>
      <c r="IRM260" s="565"/>
      <c r="IRN260" s="565"/>
      <c r="IRO260" s="565"/>
      <c r="IRP260" s="565"/>
      <c r="IRQ260" s="565"/>
      <c r="IRR260" s="565"/>
      <c r="IRS260" s="565"/>
      <c r="IRT260" s="565"/>
      <c r="IRU260" s="565"/>
      <c r="IRV260" s="565"/>
      <c r="IRW260" s="565"/>
      <c r="IRX260" s="565"/>
      <c r="IRY260" s="565"/>
      <c r="IRZ260" s="565"/>
      <c r="ISA260" s="565"/>
      <c r="ISB260" s="566"/>
      <c r="ISC260" s="565"/>
      <c r="ISD260" s="565"/>
      <c r="ISE260" s="565"/>
      <c r="ISF260" s="565"/>
      <c r="ISG260" s="565"/>
      <c r="ISH260" s="565"/>
      <c r="ISI260" s="565"/>
      <c r="ISJ260" s="565"/>
      <c r="ISK260" s="565"/>
      <c r="ISL260" s="565"/>
      <c r="ISM260" s="565"/>
      <c r="ISN260" s="565"/>
      <c r="ISO260" s="565"/>
      <c r="ISP260" s="565"/>
      <c r="ISQ260" s="565"/>
      <c r="ISR260" s="565"/>
      <c r="ISS260" s="565"/>
      <c r="IST260" s="565"/>
      <c r="ISU260" s="565"/>
      <c r="ISV260" s="566"/>
      <c r="ISW260" s="565"/>
      <c r="ISX260" s="565"/>
      <c r="ISY260" s="565"/>
      <c r="ISZ260" s="565"/>
      <c r="ITA260" s="565"/>
      <c r="ITB260" s="565"/>
      <c r="ITC260" s="565"/>
      <c r="ITD260" s="565"/>
      <c r="ITE260" s="565"/>
      <c r="ITF260" s="565"/>
      <c r="ITG260" s="565"/>
      <c r="ITH260" s="565"/>
      <c r="ITI260" s="565"/>
      <c r="ITJ260" s="565"/>
      <c r="ITK260" s="565"/>
      <c r="ITL260" s="565"/>
      <c r="ITM260" s="565"/>
      <c r="ITN260" s="565"/>
      <c r="ITO260" s="565"/>
      <c r="ITP260" s="566"/>
      <c r="ITQ260" s="565"/>
      <c r="ITR260" s="565"/>
      <c r="ITS260" s="565"/>
      <c r="ITT260" s="565"/>
      <c r="ITU260" s="565"/>
      <c r="ITV260" s="565"/>
      <c r="ITW260" s="565"/>
      <c r="ITX260" s="565"/>
      <c r="ITY260" s="565"/>
      <c r="ITZ260" s="565"/>
      <c r="IUA260" s="565"/>
      <c r="IUB260" s="565"/>
      <c r="IUC260" s="565"/>
      <c r="IUD260" s="565"/>
      <c r="IUE260" s="565"/>
      <c r="IUF260" s="565"/>
      <c r="IUG260" s="565"/>
      <c r="IUH260" s="565"/>
      <c r="IUI260" s="565"/>
      <c r="IUJ260" s="566"/>
      <c r="IUK260" s="565"/>
      <c r="IUL260" s="565"/>
      <c r="IUM260" s="565"/>
      <c r="IUN260" s="565"/>
      <c r="IUO260" s="565"/>
      <c r="IUP260" s="565"/>
      <c r="IUQ260" s="565"/>
      <c r="IUR260" s="565"/>
      <c r="IUS260" s="565"/>
      <c r="IUT260" s="565"/>
      <c r="IUU260" s="565"/>
      <c r="IUV260" s="565"/>
      <c r="IUW260" s="565"/>
      <c r="IUX260" s="565"/>
      <c r="IUY260" s="565"/>
      <c r="IUZ260" s="565"/>
      <c r="IVA260" s="565"/>
      <c r="IVB260" s="565"/>
      <c r="IVC260" s="565"/>
      <c r="IVD260" s="566"/>
      <c r="IVE260" s="565"/>
      <c r="IVF260" s="565"/>
      <c r="IVG260" s="565"/>
      <c r="IVH260" s="565"/>
      <c r="IVI260" s="565"/>
      <c r="IVJ260" s="565"/>
      <c r="IVK260" s="565"/>
      <c r="IVL260" s="565"/>
      <c r="IVM260" s="565"/>
      <c r="IVN260" s="565"/>
      <c r="IVO260" s="565"/>
      <c r="IVP260" s="565"/>
      <c r="IVQ260" s="565"/>
      <c r="IVR260" s="565"/>
      <c r="IVS260" s="565"/>
      <c r="IVT260" s="565"/>
      <c r="IVU260" s="565"/>
      <c r="IVV260" s="565"/>
      <c r="IVW260" s="565"/>
      <c r="IVX260" s="566"/>
      <c r="IVY260" s="565"/>
      <c r="IVZ260" s="565"/>
      <c r="IWA260" s="565"/>
      <c r="IWB260" s="565"/>
      <c r="IWC260" s="565"/>
      <c r="IWD260" s="565"/>
      <c r="IWE260" s="565"/>
      <c r="IWF260" s="565"/>
      <c r="IWG260" s="565"/>
      <c r="IWH260" s="565"/>
      <c r="IWI260" s="565"/>
      <c r="IWJ260" s="565"/>
      <c r="IWK260" s="565"/>
      <c r="IWL260" s="565"/>
      <c r="IWM260" s="565"/>
      <c r="IWN260" s="565"/>
      <c r="IWO260" s="565"/>
      <c r="IWP260" s="565"/>
      <c r="IWQ260" s="565"/>
      <c r="IWR260" s="566"/>
      <c r="IWS260" s="565"/>
      <c r="IWT260" s="565"/>
      <c r="IWU260" s="565"/>
      <c r="IWV260" s="565"/>
      <c r="IWW260" s="565"/>
      <c r="IWX260" s="565"/>
      <c r="IWY260" s="565"/>
      <c r="IWZ260" s="565"/>
      <c r="IXA260" s="565"/>
      <c r="IXB260" s="565"/>
      <c r="IXC260" s="565"/>
      <c r="IXD260" s="565"/>
      <c r="IXE260" s="565"/>
      <c r="IXF260" s="565"/>
      <c r="IXG260" s="565"/>
      <c r="IXH260" s="565"/>
      <c r="IXI260" s="565"/>
      <c r="IXJ260" s="565"/>
      <c r="IXK260" s="565"/>
      <c r="IXL260" s="566"/>
      <c r="IXM260" s="565"/>
      <c r="IXN260" s="565"/>
      <c r="IXO260" s="565"/>
      <c r="IXP260" s="565"/>
      <c r="IXQ260" s="565"/>
      <c r="IXR260" s="565"/>
      <c r="IXS260" s="565"/>
      <c r="IXT260" s="565"/>
      <c r="IXU260" s="565"/>
      <c r="IXV260" s="565"/>
      <c r="IXW260" s="565"/>
      <c r="IXX260" s="565"/>
      <c r="IXY260" s="565"/>
      <c r="IXZ260" s="565"/>
      <c r="IYA260" s="565"/>
      <c r="IYB260" s="565"/>
      <c r="IYC260" s="565"/>
      <c r="IYD260" s="565"/>
      <c r="IYE260" s="565"/>
      <c r="IYF260" s="566"/>
      <c r="IYG260" s="565"/>
      <c r="IYH260" s="565"/>
      <c r="IYI260" s="565"/>
      <c r="IYJ260" s="565"/>
      <c r="IYK260" s="565"/>
      <c r="IYL260" s="565"/>
      <c r="IYM260" s="565"/>
      <c r="IYN260" s="565"/>
      <c r="IYO260" s="565"/>
      <c r="IYP260" s="565"/>
      <c r="IYQ260" s="565"/>
      <c r="IYR260" s="565"/>
      <c r="IYS260" s="565"/>
      <c r="IYT260" s="565"/>
      <c r="IYU260" s="565"/>
      <c r="IYV260" s="565"/>
      <c r="IYW260" s="565"/>
      <c r="IYX260" s="565"/>
      <c r="IYY260" s="565"/>
      <c r="IYZ260" s="566"/>
      <c r="IZA260" s="565"/>
      <c r="IZB260" s="565"/>
      <c r="IZC260" s="565"/>
      <c r="IZD260" s="565"/>
      <c r="IZE260" s="565"/>
      <c r="IZF260" s="565"/>
      <c r="IZG260" s="565"/>
      <c r="IZH260" s="565"/>
      <c r="IZI260" s="565"/>
      <c r="IZJ260" s="565"/>
      <c r="IZK260" s="565"/>
      <c r="IZL260" s="565"/>
      <c r="IZM260" s="565"/>
      <c r="IZN260" s="565"/>
      <c r="IZO260" s="565"/>
      <c r="IZP260" s="565"/>
      <c r="IZQ260" s="565"/>
      <c r="IZR260" s="565"/>
      <c r="IZS260" s="565"/>
      <c r="IZT260" s="566"/>
      <c r="IZU260" s="565"/>
      <c r="IZV260" s="565"/>
      <c r="IZW260" s="565"/>
      <c r="IZX260" s="565"/>
      <c r="IZY260" s="565"/>
      <c r="IZZ260" s="565"/>
      <c r="JAA260" s="565"/>
      <c r="JAB260" s="565"/>
      <c r="JAC260" s="565"/>
      <c r="JAD260" s="565"/>
      <c r="JAE260" s="565"/>
      <c r="JAF260" s="565"/>
      <c r="JAG260" s="565"/>
      <c r="JAH260" s="565"/>
      <c r="JAI260" s="565"/>
      <c r="JAJ260" s="565"/>
      <c r="JAK260" s="565"/>
      <c r="JAL260" s="565"/>
      <c r="JAM260" s="565"/>
      <c r="JAN260" s="566"/>
      <c r="JAO260" s="565"/>
      <c r="JAP260" s="565"/>
      <c r="JAQ260" s="565"/>
      <c r="JAR260" s="565"/>
      <c r="JAS260" s="565"/>
      <c r="JAT260" s="565"/>
      <c r="JAU260" s="565"/>
      <c r="JAV260" s="565"/>
      <c r="JAW260" s="565"/>
      <c r="JAX260" s="565"/>
      <c r="JAY260" s="565"/>
      <c r="JAZ260" s="565"/>
      <c r="JBA260" s="565"/>
      <c r="JBB260" s="565"/>
      <c r="JBC260" s="565"/>
      <c r="JBD260" s="565"/>
      <c r="JBE260" s="565"/>
      <c r="JBF260" s="565"/>
      <c r="JBG260" s="565"/>
      <c r="JBH260" s="566"/>
      <c r="JBI260" s="565"/>
      <c r="JBJ260" s="565"/>
      <c r="JBK260" s="565"/>
      <c r="JBL260" s="565"/>
      <c r="JBM260" s="565"/>
      <c r="JBN260" s="565"/>
      <c r="JBO260" s="565"/>
      <c r="JBP260" s="565"/>
      <c r="JBQ260" s="565"/>
      <c r="JBR260" s="565"/>
      <c r="JBS260" s="565"/>
      <c r="JBT260" s="565"/>
      <c r="JBU260" s="565"/>
      <c r="JBV260" s="565"/>
      <c r="JBW260" s="565"/>
      <c r="JBX260" s="565"/>
      <c r="JBY260" s="565"/>
      <c r="JBZ260" s="565"/>
      <c r="JCA260" s="565"/>
      <c r="JCB260" s="566"/>
      <c r="JCC260" s="565"/>
      <c r="JCD260" s="565"/>
      <c r="JCE260" s="565"/>
      <c r="JCF260" s="565"/>
      <c r="JCG260" s="565"/>
      <c r="JCH260" s="565"/>
      <c r="JCI260" s="565"/>
      <c r="JCJ260" s="565"/>
      <c r="JCK260" s="565"/>
      <c r="JCL260" s="565"/>
      <c r="JCM260" s="565"/>
      <c r="JCN260" s="565"/>
      <c r="JCO260" s="565"/>
      <c r="JCP260" s="565"/>
      <c r="JCQ260" s="565"/>
      <c r="JCR260" s="565"/>
      <c r="JCS260" s="565"/>
      <c r="JCT260" s="565"/>
      <c r="JCU260" s="565"/>
      <c r="JCV260" s="566"/>
      <c r="JCW260" s="565"/>
      <c r="JCX260" s="565"/>
      <c r="JCY260" s="565"/>
      <c r="JCZ260" s="565"/>
      <c r="JDA260" s="565"/>
      <c r="JDB260" s="565"/>
      <c r="JDC260" s="565"/>
      <c r="JDD260" s="565"/>
      <c r="JDE260" s="565"/>
      <c r="JDF260" s="565"/>
      <c r="JDG260" s="565"/>
      <c r="JDH260" s="565"/>
      <c r="JDI260" s="565"/>
      <c r="JDJ260" s="565"/>
      <c r="JDK260" s="565"/>
      <c r="JDL260" s="565"/>
      <c r="JDM260" s="565"/>
      <c r="JDN260" s="565"/>
      <c r="JDO260" s="565"/>
      <c r="JDP260" s="566"/>
      <c r="JDQ260" s="565"/>
      <c r="JDR260" s="565"/>
      <c r="JDS260" s="565"/>
      <c r="JDT260" s="565"/>
      <c r="JDU260" s="565"/>
      <c r="JDV260" s="565"/>
      <c r="JDW260" s="565"/>
      <c r="JDX260" s="565"/>
      <c r="JDY260" s="565"/>
      <c r="JDZ260" s="565"/>
      <c r="JEA260" s="565"/>
      <c r="JEB260" s="565"/>
      <c r="JEC260" s="565"/>
      <c r="JED260" s="565"/>
      <c r="JEE260" s="565"/>
      <c r="JEF260" s="565"/>
      <c r="JEG260" s="565"/>
      <c r="JEH260" s="565"/>
      <c r="JEI260" s="565"/>
      <c r="JEJ260" s="566"/>
      <c r="JEK260" s="565"/>
      <c r="JEL260" s="565"/>
      <c r="JEM260" s="565"/>
      <c r="JEN260" s="565"/>
      <c r="JEO260" s="565"/>
      <c r="JEP260" s="565"/>
      <c r="JEQ260" s="565"/>
      <c r="JER260" s="565"/>
      <c r="JES260" s="565"/>
      <c r="JET260" s="565"/>
      <c r="JEU260" s="565"/>
      <c r="JEV260" s="565"/>
      <c r="JEW260" s="565"/>
      <c r="JEX260" s="565"/>
      <c r="JEY260" s="565"/>
      <c r="JEZ260" s="565"/>
      <c r="JFA260" s="565"/>
      <c r="JFB260" s="565"/>
      <c r="JFC260" s="565"/>
      <c r="JFD260" s="566"/>
      <c r="JFE260" s="565"/>
      <c r="JFF260" s="565"/>
      <c r="JFG260" s="565"/>
      <c r="JFH260" s="565"/>
      <c r="JFI260" s="565"/>
      <c r="JFJ260" s="565"/>
      <c r="JFK260" s="565"/>
      <c r="JFL260" s="565"/>
      <c r="JFM260" s="565"/>
      <c r="JFN260" s="565"/>
      <c r="JFO260" s="565"/>
      <c r="JFP260" s="565"/>
      <c r="JFQ260" s="565"/>
      <c r="JFR260" s="565"/>
      <c r="JFS260" s="565"/>
      <c r="JFT260" s="565"/>
      <c r="JFU260" s="565"/>
      <c r="JFV260" s="565"/>
      <c r="JFW260" s="565"/>
      <c r="JFX260" s="566"/>
      <c r="JFY260" s="565"/>
      <c r="JFZ260" s="565"/>
      <c r="JGA260" s="565"/>
      <c r="JGB260" s="565"/>
      <c r="JGC260" s="565"/>
      <c r="JGD260" s="565"/>
      <c r="JGE260" s="565"/>
      <c r="JGF260" s="565"/>
      <c r="JGG260" s="565"/>
      <c r="JGH260" s="565"/>
      <c r="JGI260" s="565"/>
      <c r="JGJ260" s="565"/>
      <c r="JGK260" s="565"/>
      <c r="JGL260" s="565"/>
      <c r="JGM260" s="565"/>
      <c r="JGN260" s="565"/>
      <c r="JGO260" s="565"/>
      <c r="JGP260" s="565"/>
      <c r="JGQ260" s="565"/>
      <c r="JGR260" s="566"/>
      <c r="JGS260" s="565"/>
      <c r="JGT260" s="565"/>
      <c r="JGU260" s="565"/>
      <c r="JGV260" s="565"/>
      <c r="JGW260" s="565"/>
      <c r="JGX260" s="565"/>
      <c r="JGY260" s="565"/>
      <c r="JGZ260" s="565"/>
      <c r="JHA260" s="565"/>
      <c r="JHB260" s="565"/>
      <c r="JHC260" s="565"/>
      <c r="JHD260" s="565"/>
      <c r="JHE260" s="565"/>
      <c r="JHF260" s="565"/>
      <c r="JHG260" s="565"/>
      <c r="JHH260" s="565"/>
      <c r="JHI260" s="565"/>
      <c r="JHJ260" s="565"/>
      <c r="JHK260" s="565"/>
      <c r="JHL260" s="566"/>
      <c r="JHM260" s="565"/>
      <c r="JHN260" s="565"/>
      <c r="JHO260" s="565"/>
      <c r="JHP260" s="565"/>
      <c r="JHQ260" s="565"/>
      <c r="JHR260" s="565"/>
      <c r="JHS260" s="565"/>
      <c r="JHT260" s="565"/>
      <c r="JHU260" s="565"/>
      <c r="JHV260" s="565"/>
      <c r="JHW260" s="565"/>
      <c r="JHX260" s="565"/>
      <c r="JHY260" s="565"/>
      <c r="JHZ260" s="565"/>
      <c r="JIA260" s="565"/>
      <c r="JIB260" s="565"/>
      <c r="JIC260" s="565"/>
      <c r="JID260" s="565"/>
      <c r="JIE260" s="565"/>
      <c r="JIF260" s="566"/>
      <c r="JIG260" s="565"/>
      <c r="JIH260" s="565"/>
      <c r="JII260" s="565"/>
      <c r="JIJ260" s="565"/>
      <c r="JIK260" s="565"/>
      <c r="JIL260" s="565"/>
      <c r="JIM260" s="565"/>
      <c r="JIN260" s="565"/>
      <c r="JIO260" s="565"/>
      <c r="JIP260" s="565"/>
      <c r="JIQ260" s="565"/>
      <c r="JIR260" s="565"/>
      <c r="JIS260" s="565"/>
      <c r="JIT260" s="565"/>
      <c r="JIU260" s="565"/>
      <c r="JIV260" s="565"/>
      <c r="JIW260" s="565"/>
      <c r="JIX260" s="565"/>
      <c r="JIY260" s="565"/>
      <c r="JIZ260" s="566"/>
      <c r="JJA260" s="565"/>
      <c r="JJB260" s="565"/>
      <c r="JJC260" s="565"/>
      <c r="JJD260" s="565"/>
      <c r="JJE260" s="565"/>
      <c r="JJF260" s="565"/>
      <c r="JJG260" s="565"/>
      <c r="JJH260" s="565"/>
      <c r="JJI260" s="565"/>
      <c r="JJJ260" s="565"/>
      <c r="JJK260" s="565"/>
      <c r="JJL260" s="565"/>
      <c r="JJM260" s="565"/>
      <c r="JJN260" s="565"/>
      <c r="JJO260" s="565"/>
      <c r="JJP260" s="565"/>
      <c r="JJQ260" s="565"/>
      <c r="JJR260" s="565"/>
      <c r="JJS260" s="565"/>
      <c r="JJT260" s="566"/>
      <c r="JJU260" s="565"/>
      <c r="JJV260" s="565"/>
      <c r="JJW260" s="565"/>
      <c r="JJX260" s="565"/>
      <c r="JJY260" s="565"/>
      <c r="JJZ260" s="565"/>
      <c r="JKA260" s="565"/>
      <c r="JKB260" s="565"/>
      <c r="JKC260" s="565"/>
      <c r="JKD260" s="565"/>
      <c r="JKE260" s="565"/>
      <c r="JKF260" s="565"/>
      <c r="JKG260" s="565"/>
      <c r="JKH260" s="565"/>
      <c r="JKI260" s="565"/>
      <c r="JKJ260" s="565"/>
      <c r="JKK260" s="565"/>
      <c r="JKL260" s="565"/>
      <c r="JKM260" s="565"/>
      <c r="JKN260" s="566"/>
      <c r="JKO260" s="565"/>
      <c r="JKP260" s="565"/>
      <c r="JKQ260" s="565"/>
      <c r="JKR260" s="565"/>
      <c r="JKS260" s="565"/>
      <c r="JKT260" s="565"/>
      <c r="JKU260" s="565"/>
      <c r="JKV260" s="565"/>
      <c r="JKW260" s="565"/>
      <c r="JKX260" s="565"/>
      <c r="JKY260" s="565"/>
      <c r="JKZ260" s="565"/>
      <c r="JLA260" s="565"/>
      <c r="JLB260" s="565"/>
      <c r="JLC260" s="565"/>
      <c r="JLD260" s="565"/>
      <c r="JLE260" s="565"/>
      <c r="JLF260" s="565"/>
      <c r="JLG260" s="565"/>
      <c r="JLH260" s="566"/>
      <c r="JLI260" s="565"/>
      <c r="JLJ260" s="565"/>
      <c r="JLK260" s="565"/>
      <c r="JLL260" s="565"/>
      <c r="JLM260" s="565"/>
      <c r="JLN260" s="565"/>
      <c r="JLO260" s="565"/>
      <c r="JLP260" s="565"/>
      <c r="JLQ260" s="565"/>
      <c r="JLR260" s="565"/>
      <c r="JLS260" s="565"/>
      <c r="JLT260" s="565"/>
      <c r="JLU260" s="565"/>
      <c r="JLV260" s="565"/>
      <c r="JLW260" s="565"/>
      <c r="JLX260" s="565"/>
      <c r="JLY260" s="565"/>
      <c r="JLZ260" s="565"/>
      <c r="JMA260" s="565"/>
      <c r="JMB260" s="566"/>
      <c r="JMC260" s="565"/>
      <c r="JMD260" s="565"/>
      <c r="JME260" s="565"/>
      <c r="JMF260" s="565"/>
      <c r="JMG260" s="565"/>
      <c r="JMH260" s="565"/>
      <c r="JMI260" s="565"/>
      <c r="JMJ260" s="565"/>
      <c r="JMK260" s="565"/>
      <c r="JML260" s="565"/>
      <c r="JMM260" s="565"/>
      <c r="JMN260" s="565"/>
      <c r="JMO260" s="565"/>
      <c r="JMP260" s="565"/>
      <c r="JMQ260" s="565"/>
      <c r="JMR260" s="565"/>
      <c r="JMS260" s="565"/>
      <c r="JMT260" s="565"/>
      <c r="JMU260" s="565"/>
      <c r="JMV260" s="566"/>
      <c r="JMW260" s="565"/>
      <c r="JMX260" s="565"/>
      <c r="JMY260" s="565"/>
      <c r="JMZ260" s="565"/>
      <c r="JNA260" s="565"/>
      <c r="JNB260" s="565"/>
      <c r="JNC260" s="565"/>
      <c r="JND260" s="565"/>
      <c r="JNE260" s="565"/>
      <c r="JNF260" s="565"/>
      <c r="JNG260" s="565"/>
      <c r="JNH260" s="565"/>
      <c r="JNI260" s="565"/>
      <c r="JNJ260" s="565"/>
      <c r="JNK260" s="565"/>
      <c r="JNL260" s="565"/>
      <c r="JNM260" s="565"/>
      <c r="JNN260" s="565"/>
      <c r="JNO260" s="565"/>
      <c r="JNP260" s="566"/>
      <c r="JNQ260" s="565"/>
      <c r="JNR260" s="565"/>
      <c r="JNS260" s="565"/>
      <c r="JNT260" s="565"/>
      <c r="JNU260" s="565"/>
      <c r="JNV260" s="565"/>
      <c r="JNW260" s="565"/>
      <c r="JNX260" s="565"/>
      <c r="JNY260" s="565"/>
      <c r="JNZ260" s="565"/>
      <c r="JOA260" s="565"/>
      <c r="JOB260" s="565"/>
      <c r="JOC260" s="565"/>
      <c r="JOD260" s="565"/>
      <c r="JOE260" s="565"/>
      <c r="JOF260" s="565"/>
      <c r="JOG260" s="565"/>
      <c r="JOH260" s="565"/>
      <c r="JOI260" s="565"/>
      <c r="JOJ260" s="566"/>
      <c r="JOK260" s="565"/>
      <c r="JOL260" s="565"/>
      <c r="JOM260" s="565"/>
      <c r="JON260" s="565"/>
      <c r="JOO260" s="565"/>
      <c r="JOP260" s="565"/>
      <c r="JOQ260" s="565"/>
      <c r="JOR260" s="565"/>
      <c r="JOS260" s="565"/>
      <c r="JOT260" s="565"/>
      <c r="JOU260" s="565"/>
      <c r="JOV260" s="565"/>
      <c r="JOW260" s="565"/>
      <c r="JOX260" s="565"/>
      <c r="JOY260" s="565"/>
      <c r="JOZ260" s="565"/>
      <c r="JPA260" s="565"/>
      <c r="JPB260" s="565"/>
      <c r="JPC260" s="565"/>
      <c r="JPD260" s="566"/>
      <c r="JPE260" s="565"/>
      <c r="JPF260" s="565"/>
      <c r="JPG260" s="565"/>
      <c r="JPH260" s="565"/>
      <c r="JPI260" s="565"/>
      <c r="JPJ260" s="565"/>
      <c r="JPK260" s="565"/>
      <c r="JPL260" s="565"/>
      <c r="JPM260" s="565"/>
      <c r="JPN260" s="565"/>
      <c r="JPO260" s="565"/>
      <c r="JPP260" s="565"/>
      <c r="JPQ260" s="565"/>
      <c r="JPR260" s="565"/>
      <c r="JPS260" s="565"/>
      <c r="JPT260" s="565"/>
      <c r="JPU260" s="565"/>
      <c r="JPV260" s="565"/>
      <c r="JPW260" s="565"/>
      <c r="JPX260" s="566"/>
      <c r="JPY260" s="565"/>
      <c r="JPZ260" s="565"/>
      <c r="JQA260" s="565"/>
      <c r="JQB260" s="565"/>
      <c r="JQC260" s="565"/>
      <c r="JQD260" s="565"/>
      <c r="JQE260" s="565"/>
      <c r="JQF260" s="565"/>
      <c r="JQG260" s="565"/>
      <c r="JQH260" s="565"/>
      <c r="JQI260" s="565"/>
      <c r="JQJ260" s="565"/>
      <c r="JQK260" s="565"/>
      <c r="JQL260" s="565"/>
      <c r="JQM260" s="565"/>
      <c r="JQN260" s="565"/>
      <c r="JQO260" s="565"/>
      <c r="JQP260" s="565"/>
      <c r="JQQ260" s="565"/>
      <c r="JQR260" s="566"/>
      <c r="JQS260" s="565"/>
      <c r="JQT260" s="565"/>
      <c r="JQU260" s="565"/>
      <c r="JQV260" s="565"/>
      <c r="JQW260" s="565"/>
      <c r="JQX260" s="565"/>
      <c r="JQY260" s="565"/>
      <c r="JQZ260" s="565"/>
      <c r="JRA260" s="565"/>
      <c r="JRB260" s="565"/>
      <c r="JRC260" s="565"/>
      <c r="JRD260" s="565"/>
      <c r="JRE260" s="565"/>
      <c r="JRF260" s="565"/>
      <c r="JRG260" s="565"/>
      <c r="JRH260" s="565"/>
      <c r="JRI260" s="565"/>
      <c r="JRJ260" s="565"/>
      <c r="JRK260" s="565"/>
      <c r="JRL260" s="566"/>
      <c r="JRM260" s="565"/>
      <c r="JRN260" s="565"/>
      <c r="JRO260" s="565"/>
      <c r="JRP260" s="565"/>
      <c r="JRQ260" s="565"/>
      <c r="JRR260" s="565"/>
      <c r="JRS260" s="565"/>
      <c r="JRT260" s="565"/>
      <c r="JRU260" s="565"/>
      <c r="JRV260" s="565"/>
      <c r="JRW260" s="565"/>
      <c r="JRX260" s="565"/>
      <c r="JRY260" s="565"/>
      <c r="JRZ260" s="565"/>
      <c r="JSA260" s="565"/>
      <c r="JSB260" s="565"/>
      <c r="JSC260" s="565"/>
      <c r="JSD260" s="565"/>
      <c r="JSE260" s="565"/>
      <c r="JSF260" s="566"/>
      <c r="JSG260" s="565"/>
      <c r="JSH260" s="565"/>
      <c r="JSI260" s="565"/>
      <c r="JSJ260" s="565"/>
      <c r="JSK260" s="565"/>
      <c r="JSL260" s="565"/>
      <c r="JSM260" s="565"/>
      <c r="JSN260" s="565"/>
      <c r="JSO260" s="565"/>
      <c r="JSP260" s="565"/>
      <c r="JSQ260" s="565"/>
      <c r="JSR260" s="565"/>
      <c r="JSS260" s="565"/>
      <c r="JST260" s="565"/>
      <c r="JSU260" s="565"/>
      <c r="JSV260" s="565"/>
      <c r="JSW260" s="565"/>
      <c r="JSX260" s="565"/>
      <c r="JSY260" s="565"/>
      <c r="JSZ260" s="566"/>
      <c r="JTA260" s="565"/>
      <c r="JTB260" s="565"/>
      <c r="JTC260" s="565"/>
      <c r="JTD260" s="565"/>
      <c r="JTE260" s="565"/>
      <c r="JTF260" s="565"/>
      <c r="JTG260" s="565"/>
      <c r="JTH260" s="565"/>
      <c r="JTI260" s="565"/>
      <c r="JTJ260" s="565"/>
      <c r="JTK260" s="565"/>
      <c r="JTL260" s="565"/>
      <c r="JTM260" s="565"/>
      <c r="JTN260" s="565"/>
      <c r="JTO260" s="565"/>
      <c r="JTP260" s="565"/>
      <c r="JTQ260" s="565"/>
      <c r="JTR260" s="565"/>
      <c r="JTS260" s="565"/>
      <c r="JTT260" s="566"/>
      <c r="JTU260" s="565"/>
      <c r="JTV260" s="565"/>
      <c r="JTW260" s="565"/>
      <c r="JTX260" s="565"/>
      <c r="JTY260" s="565"/>
      <c r="JTZ260" s="565"/>
      <c r="JUA260" s="565"/>
      <c r="JUB260" s="565"/>
      <c r="JUC260" s="565"/>
      <c r="JUD260" s="565"/>
      <c r="JUE260" s="565"/>
      <c r="JUF260" s="565"/>
      <c r="JUG260" s="565"/>
      <c r="JUH260" s="565"/>
      <c r="JUI260" s="565"/>
      <c r="JUJ260" s="565"/>
      <c r="JUK260" s="565"/>
      <c r="JUL260" s="565"/>
      <c r="JUM260" s="565"/>
      <c r="JUN260" s="566"/>
      <c r="JUO260" s="565"/>
      <c r="JUP260" s="565"/>
      <c r="JUQ260" s="565"/>
      <c r="JUR260" s="565"/>
      <c r="JUS260" s="565"/>
      <c r="JUT260" s="565"/>
      <c r="JUU260" s="565"/>
      <c r="JUV260" s="565"/>
      <c r="JUW260" s="565"/>
      <c r="JUX260" s="565"/>
      <c r="JUY260" s="565"/>
      <c r="JUZ260" s="565"/>
      <c r="JVA260" s="565"/>
      <c r="JVB260" s="565"/>
      <c r="JVC260" s="565"/>
      <c r="JVD260" s="565"/>
      <c r="JVE260" s="565"/>
      <c r="JVF260" s="565"/>
      <c r="JVG260" s="565"/>
      <c r="JVH260" s="566"/>
      <c r="JVI260" s="565"/>
      <c r="JVJ260" s="565"/>
      <c r="JVK260" s="565"/>
      <c r="JVL260" s="565"/>
      <c r="JVM260" s="565"/>
      <c r="JVN260" s="565"/>
      <c r="JVO260" s="565"/>
      <c r="JVP260" s="565"/>
      <c r="JVQ260" s="565"/>
      <c r="JVR260" s="565"/>
      <c r="JVS260" s="565"/>
      <c r="JVT260" s="565"/>
      <c r="JVU260" s="565"/>
      <c r="JVV260" s="565"/>
      <c r="JVW260" s="565"/>
      <c r="JVX260" s="565"/>
      <c r="JVY260" s="565"/>
      <c r="JVZ260" s="565"/>
      <c r="JWA260" s="565"/>
      <c r="JWB260" s="566"/>
      <c r="JWC260" s="565"/>
      <c r="JWD260" s="565"/>
      <c r="JWE260" s="565"/>
      <c r="JWF260" s="565"/>
      <c r="JWG260" s="565"/>
      <c r="JWH260" s="565"/>
      <c r="JWI260" s="565"/>
      <c r="JWJ260" s="565"/>
      <c r="JWK260" s="565"/>
      <c r="JWL260" s="565"/>
      <c r="JWM260" s="565"/>
      <c r="JWN260" s="565"/>
      <c r="JWO260" s="565"/>
      <c r="JWP260" s="565"/>
      <c r="JWQ260" s="565"/>
      <c r="JWR260" s="565"/>
      <c r="JWS260" s="565"/>
      <c r="JWT260" s="565"/>
      <c r="JWU260" s="565"/>
      <c r="JWV260" s="566"/>
      <c r="JWW260" s="565"/>
      <c r="JWX260" s="565"/>
      <c r="JWY260" s="565"/>
      <c r="JWZ260" s="565"/>
      <c r="JXA260" s="565"/>
      <c r="JXB260" s="565"/>
      <c r="JXC260" s="565"/>
      <c r="JXD260" s="565"/>
      <c r="JXE260" s="565"/>
      <c r="JXF260" s="565"/>
      <c r="JXG260" s="565"/>
      <c r="JXH260" s="565"/>
      <c r="JXI260" s="565"/>
      <c r="JXJ260" s="565"/>
      <c r="JXK260" s="565"/>
      <c r="JXL260" s="565"/>
      <c r="JXM260" s="565"/>
      <c r="JXN260" s="565"/>
      <c r="JXO260" s="565"/>
      <c r="JXP260" s="566"/>
      <c r="JXQ260" s="565"/>
      <c r="JXR260" s="565"/>
      <c r="JXS260" s="565"/>
      <c r="JXT260" s="565"/>
      <c r="JXU260" s="565"/>
      <c r="JXV260" s="565"/>
      <c r="JXW260" s="565"/>
      <c r="JXX260" s="565"/>
      <c r="JXY260" s="565"/>
      <c r="JXZ260" s="565"/>
      <c r="JYA260" s="565"/>
      <c r="JYB260" s="565"/>
      <c r="JYC260" s="565"/>
      <c r="JYD260" s="565"/>
      <c r="JYE260" s="565"/>
      <c r="JYF260" s="565"/>
      <c r="JYG260" s="565"/>
      <c r="JYH260" s="565"/>
      <c r="JYI260" s="565"/>
      <c r="JYJ260" s="566"/>
      <c r="JYK260" s="565"/>
      <c r="JYL260" s="565"/>
      <c r="JYM260" s="565"/>
      <c r="JYN260" s="565"/>
      <c r="JYO260" s="565"/>
      <c r="JYP260" s="565"/>
      <c r="JYQ260" s="565"/>
      <c r="JYR260" s="565"/>
      <c r="JYS260" s="565"/>
      <c r="JYT260" s="565"/>
      <c r="JYU260" s="565"/>
      <c r="JYV260" s="565"/>
      <c r="JYW260" s="565"/>
      <c r="JYX260" s="565"/>
      <c r="JYY260" s="565"/>
      <c r="JYZ260" s="565"/>
      <c r="JZA260" s="565"/>
      <c r="JZB260" s="565"/>
      <c r="JZC260" s="565"/>
      <c r="JZD260" s="566"/>
      <c r="JZE260" s="565"/>
      <c r="JZF260" s="565"/>
      <c r="JZG260" s="565"/>
      <c r="JZH260" s="565"/>
      <c r="JZI260" s="565"/>
      <c r="JZJ260" s="565"/>
      <c r="JZK260" s="565"/>
      <c r="JZL260" s="565"/>
      <c r="JZM260" s="565"/>
      <c r="JZN260" s="565"/>
      <c r="JZO260" s="565"/>
      <c r="JZP260" s="565"/>
      <c r="JZQ260" s="565"/>
      <c r="JZR260" s="565"/>
      <c r="JZS260" s="565"/>
      <c r="JZT260" s="565"/>
      <c r="JZU260" s="565"/>
      <c r="JZV260" s="565"/>
      <c r="JZW260" s="565"/>
      <c r="JZX260" s="566"/>
      <c r="JZY260" s="565"/>
      <c r="JZZ260" s="565"/>
      <c r="KAA260" s="565"/>
      <c r="KAB260" s="565"/>
      <c r="KAC260" s="565"/>
      <c r="KAD260" s="565"/>
      <c r="KAE260" s="565"/>
      <c r="KAF260" s="565"/>
      <c r="KAG260" s="565"/>
      <c r="KAH260" s="565"/>
      <c r="KAI260" s="565"/>
      <c r="KAJ260" s="565"/>
      <c r="KAK260" s="565"/>
      <c r="KAL260" s="565"/>
      <c r="KAM260" s="565"/>
      <c r="KAN260" s="565"/>
      <c r="KAO260" s="565"/>
      <c r="KAP260" s="565"/>
      <c r="KAQ260" s="565"/>
      <c r="KAR260" s="566"/>
      <c r="KAS260" s="565"/>
      <c r="KAT260" s="565"/>
      <c r="KAU260" s="565"/>
      <c r="KAV260" s="565"/>
      <c r="KAW260" s="565"/>
      <c r="KAX260" s="565"/>
      <c r="KAY260" s="565"/>
      <c r="KAZ260" s="565"/>
      <c r="KBA260" s="565"/>
      <c r="KBB260" s="565"/>
      <c r="KBC260" s="565"/>
      <c r="KBD260" s="565"/>
      <c r="KBE260" s="565"/>
      <c r="KBF260" s="565"/>
      <c r="KBG260" s="565"/>
      <c r="KBH260" s="565"/>
      <c r="KBI260" s="565"/>
      <c r="KBJ260" s="565"/>
      <c r="KBK260" s="565"/>
      <c r="KBL260" s="566"/>
      <c r="KBM260" s="565"/>
      <c r="KBN260" s="565"/>
      <c r="KBO260" s="565"/>
      <c r="KBP260" s="565"/>
      <c r="KBQ260" s="565"/>
      <c r="KBR260" s="565"/>
      <c r="KBS260" s="565"/>
      <c r="KBT260" s="565"/>
      <c r="KBU260" s="565"/>
      <c r="KBV260" s="565"/>
      <c r="KBW260" s="565"/>
      <c r="KBX260" s="565"/>
      <c r="KBY260" s="565"/>
      <c r="KBZ260" s="565"/>
      <c r="KCA260" s="565"/>
      <c r="KCB260" s="565"/>
      <c r="KCC260" s="565"/>
      <c r="KCD260" s="565"/>
      <c r="KCE260" s="565"/>
      <c r="KCF260" s="566"/>
      <c r="KCG260" s="565"/>
      <c r="KCH260" s="565"/>
      <c r="KCI260" s="565"/>
      <c r="KCJ260" s="565"/>
      <c r="KCK260" s="565"/>
      <c r="KCL260" s="565"/>
      <c r="KCM260" s="565"/>
      <c r="KCN260" s="565"/>
      <c r="KCO260" s="565"/>
      <c r="KCP260" s="565"/>
      <c r="KCQ260" s="565"/>
      <c r="KCR260" s="565"/>
      <c r="KCS260" s="565"/>
      <c r="KCT260" s="565"/>
      <c r="KCU260" s="565"/>
      <c r="KCV260" s="565"/>
      <c r="KCW260" s="565"/>
      <c r="KCX260" s="565"/>
      <c r="KCY260" s="565"/>
      <c r="KCZ260" s="566"/>
      <c r="KDA260" s="565"/>
      <c r="KDB260" s="565"/>
      <c r="KDC260" s="565"/>
      <c r="KDD260" s="565"/>
      <c r="KDE260" s="565"/>
      <c r="KDF260" s="565"/>
      <c r="KDG260" s="565"/>
      <c r="KDH260" s="565"/>
      <c r="KDI260" s="565"/>
      <c r="KDJ260" s="565"/>
      <c r="KDK260" s="565"/>
      <c r="KDL260" s="565"/>
      <c r="KDM260" s="565"/>
      <c r="KDN260" s="565"/>
      <c r="KDO260" s="565"/>
      <c r="KDP260" s="565"/>
      <c r="KDQ260" s="565"/>
      <c r="KDR260" s="565"/>
      <c r="KDS260" s="565"/>
      <c r="KDT260" s="566"/>
      <c r="KDU260" s="565"/>
      <c r="KDV260" s="565"/>
      <c r="KDW260" s="565"/>
      <c r="KDX260" s="565"/>
      <c r="KDY260" s="565"/>
      <c r="KDZ260" s="565"/>
      <c r="KEA260" s="565"/>
      <c r="KEB260" s="565"/>
      <c r="KEC260" s="565"/>
      <c r="KED260" s="565"/>
      <c r="KEE260" s="565"/>
      <c r="KEF260" s="565"/>
      <c r="KEG260" s="565"/>
      <c r="KEH260" s="565"/>
      <c r="KEI260" s="565"/>
      <c r="KEJ260" s="565"/>
      <c r="KEK260" s="565"/>
      <c r="KEL260" s="565"/>
      <c r="KEM260" s="565"/>
      <c r="KEN260" s="566"/>
      <c r="KEO260" s="565"/>
      <c r="KEP260" s="565"/>
      <c r="KEQ260" s="565"/>
      <c r="KER260" s="565"/>
      <c r="KES260" s="565"/>
      <c r="KET260" s="565"/>
      <c r="KEU260" s="565"/>
      <c r="KEV260" s="565"/>
      <c r="KEW260" s="565"/>
      <c r="KEX260" s="565"/>
      <c r="KEY260" s="565"/>
      <c r="KEZ260" s="565"/>
      <c r="KFA260" s="565"/>
      <c r="KFB260" s="565"/>
      <c r="KFC260" s="565"/>
      <c r="KFD260" s="565"/>
      <c r="KFE260" s="565"/>
      <c r="KFF260" s="565"/>
      <c r="KFG260" s="565"/>
      <c r="KFH260" s="566"/>
      <c r="KFI260" s="565"/>
      <c r="KFJ260" s="565"/>
      <c r="KFK260" s="565"/>
      <c r="KFL260" s="565"/>
      <c r="KFM260" s="565"/>
      <c r="KFN260" s="565"/>
      <c r="KFO260" s="565"/>
      <c r="KFP260" s="565"/>
      <c r="KFQ260" s="565"/>
      <c r="KFR260" s="565"/>
      <c r="KFS260" s="565"/>
      <c r="KFT260" s="565"/>
      <c r="KFU260" s="565"/>
      <c r="KFV260" s="565"/>
      <c r="KFW260" s="565"/>
      <c r="KFX260" s="565"/>
      <c r="KFY260" s="565"/>
      <c r="KFZ260" s="565"/>
      <c r="KGA260" s="565"/>
      <c r="KGB260" s="566"/>
      <c r="KGC260" s="565"/>
      <c r="KGD260" s="565"/>
      <c r="KGE260" s="565"/>
      <c r="KGF260" s="565"/>
      <c r="KGG260" s="565"/>
      <c r="KGH260" s="565"/>
      <c r="KGI260" s="565"/>
      <c r="KGJ260" s="565"/>
      <c r="KGK260" s="565"/>
      <c r="KGL260" s="565"/>
      <c r="KGM260" s="565"/>
      <c r="KGN260" s="565"/>
      <c r="KGO260" s="565"/>
      <c r="KGP260" s="565"/>
      <c r="KGQ260" s="565"/>
      <c r="KGR260" s="565"/>
      <c r="KGS260" s="565"/>
      <c r="KGT260" s="565"/>
      <c r="KGU260" s="565"/>
      <c r="KGV260" s="566"/>
      <c r="KGW260" s="565"/>
      <c r="KGX260" s="565"/>
      <c r="KGY260" s="565"/>
      <c r="KGZ260" s="565"/>
      <c r="KHA260" s="565"/>
      <c r="KHB260" s="565"/>
      <c r="KHC260" s="565"/>
      <c r="KHD260" s="565"/>
      <c r="KHE260" s="565"/>
      <c r="KHF260" s="565"/>
      <c r="KHG260" s="565"/>
      <c r="KHH260" s="565"/>
      <c r="KHI260" s="565"/>
      <c r="KHJ260" s="565"/>
      <c r="KHK260" s="565"/>
      <c r="KHL260" s="565"/>
      <c r="KHM260" s="565"/>
      <c r="KHN260" s="565"/>
      <c r="KHO260" s="565"/>
      <c r="KHP260" s="566"/>
      <c r="KHQ260" s="565"/>
      <c r="KHR260" s="565"/>
      <c r="KHS260" s="565"/>
      <c r="KHT260" s="565"/>
      <c r="KHU260" s="565"/>
      <c r="KHV260" s="565"/>
      <c r="KHW260" s="565"/>
      <c r="KHX260" s="565"/>
      <c r="KHY260" s="565"/>
      <c r="KHZ260" s="565"/>
      <c r="KIA260" s="565"/>
      <c r="KIB260" s="565"/>
      <c r="KIC260" s="565"/>
      <c r="KID260" s="565"/>
      <c r="KIE260" s="565"/>
      <c r="KIF260" s="565"/>
      <c r="KIG260" s="565"/>
      <c r="KIH260" s="565"/>
      <c r="KII260" s="565"/>
      <c r="KIJ260" s="566"/>
      <c r="KIK260" s="565"/>
      <c r="KIL260" s="565"/>
      <c r="KIM260" s="565"/>
      <c r="KIN260" s="565"/>
      <c r="KIO260" s="565"/>
      <c r="KIP260" s="565"/>
      <c r="KIQ260" s="565"/>
      <c r="KIR260" s="565"/>
      <c r="KIS260" s="565"/>
      <c r="KIT260" s="565"/>
      <c r="KIU260" s="565"/>
      <c r="KIV260" s="565"/>
      <c r="KIW260" s="565"/>
      <c r="KIX260" s="565"/>
      <c r="KIY260" s="565"/>
      <c r="KIZ260" s="565"/>
      <c r="KJA260" s="565"/>
      <c r="KJB260" s="565"/>
      <c r="KJC260" s="565"/>
      <c r="KJD260" s="566"/>
      <c r="KJE260" s="565"/>
      <c r="KJF260" s="565"/>
      <c r="KJG260" s="565"/>
      <c r="KJH260" s="565"/>
      <c r="KJI260" s="565"/>
      <c r="KJJ260" s="565"/>
      <c r="KJK260" s="565"/>
      <c r="KJL260" s="565"/>
      <c r="KJM260" s="565"/>
      <c r="KJN260" s="565"/>
      <c r="KJO260" s="565"/>
      <c r="KJP260" s="565"/>
      <c r="KJQ260" s="565"/>
      <c r="KJR260" s="565"/>
      <c r="KJS260" s="565"/>
      <c r="KJT260" s="565"/>
      <c r="KJU260" s="565"/>
      <c r="KJV260" s="565"/>
      <c r="KJW260" s="565"/>
      <c r="KJX260" s="566"/>
      <c r="KJY260" s="565"/>
      <c r="KJZ260" s="565"/>
      <c r="KKA260" s="565"/>
      <c r="KKB260" s="565"/>
      <c r="KKC260" s="565"/>
      <c r="KKD260" s="565"/>
      <c r="KKE260" s="565"/>
      <c r="KKF260" s="565"/>
      <c r="KKG260" s="565"/>
      <c r="KKH260" s="565"/>
      <c r="KKI260" s="565"/>
      <c r="KKJ260" s="565"/>
      <c r="KKK260" s="565"/>
      <c r="KKL260" s="565"/>
      <c r="KKM260" s="565"/>
      <c r="KKN260" s="565"/>
      <c r="KKO260" s="565"/>
      <c r="KKP260" s="565"/>
      <c r="KKQ260" s="565"/>
      <c r="KKR260" s="566"/>
      <c r="KKS260" s="565"/>
      <c r="KKT260" s="565"/>
      <c r="KKU260" s="565"/>
      <c r="KKV260" s="565"/>
      <c r="KKW260" s="565"/>
      <c r="KKX260" s="565"/>
      <c r="KKY260" s="565"/>
      <c r="KKZ260" s="565"/>
      <c r="KLA260" s="565"/>
      <c r="KLB260" s="565"/>
      <c r="KLC260" s="565"/>
      <c r="KLD260" s="565"/>
      <c r="KLE260" s="565"/>
      <c r="KLF260" s="565"/>
      <c r="KLG260" s="565"/>
      <c r="KLH260" s="565"/>
      <c r="KLI260" s="565"/>
      <c r="KLJ260" s="565"/>
      <c r="KLK260" s="565"/>
      <c r="KLL260" s="566"/>
      <c r="KLM260" s="565"/>
      <c r="KLN260" s="565"/>
      <c r="KLO260" s="565"/>
      <c r="KLP260" s="565"/>
      <c r="KLQ260" s="565"/>
      <c r="KLR260" s="565"/>
      <c r="KLS260" s="565"/>
      <c r="KLT260" s="565"/>
      <c r="KLU260" s="565"/>
      <c r="KLV260" s="565"/>
      <c r="KLW260" s="565"/>
      <c r="KLX260" s="565"/>
      <c r="KLY260" s="565"/>
      <c r="KLZ260" s="565"/>
      <c r="KMA260" s="565"/>
      <c r="KMB260" s="565"/>
      <c r="KMC260" s="565"/>
      <c r="KMD260" s="565"/>
      <c r="KME260" s="565"/>
      <c r="KMF260" s="566"/>
      <c r="KMG260" s="565"/>
      <c r="KMH260" s="565"/>
      <c r="KMI260" s="565"/>
      <c r="KMJ260" s="565"/>
      <c r="KMK260" s="565"/>
      <c r="KML260" s="565"/>
      <c r="KMM260" s="565"/>
      <c r="KMN260" s="565"/>
      <c r="KMO260" s="565"/>
      <c r="KMP260" s="565"/>
      <c r="KMQ260" s="565"/>
      <c r="KMR260" s="565"/>
      <c r="KMS260" s="565"/>
      <c r="KMT260" s="565"/>
      <c r="KMU260" s="565"/>
      <c r="KMV260" s="565"/>
      <c r="KMW260" s="565"/>
      <c r="KMX260" s="565"/>
      <c r="KMY260" s="565"/>
      <c r="KMZ260" s="566"/>
      <c r="KNA260" s="565"/>
      <c r="KNB260" s="565"/>
      <c r="KNC260" s="565"/>
      <c r="KND260" s="565"/>
      <c r="KNE260" s="565"/>
      <c r="KNF260" s="565"/>
      <c r="KNG260" s="565"/>
      <c r="KNH260" s="565"/>
      <c r="KNI260" s="565"/>
      <c r="KNJ260" s="565"/>
      <c r="KNK260" s="565"/>
      <c r="KNL260" s="565"/>
      <c r="KNM260" s="565"/>
      <c r="KNN260" s="565"/>
      <c r="KNO260" s="565"/>
      <c r="KNP260" s="565"/>
      <c r="KNQ260" s="565"/>
      <c r="KNR260" s="565"/>
      <c r="KNS260" s="565"/>
      <c r="KNT260" s="566"/>
      <c r="KNU260" s="565"/>
      <c r="KNV260" s="565"/>
      <c r="KNW260" s="565"/>
      <c r="KNX260" s="565"/>
      <c r="KNY260" s="565"/>
      <c r="KNZ260" s="565"/>
      <c r="KOA260" s="565"/>
      <c r="KOB260" s="565"/>
      <c r="KOC260" s="565"/>
      <c r="KOD260" s="565"/>
      <c r="KOE260" s="565"/>
      <c r="KOF260" s="565"/>
      <c r="KOG260" s="565"/>
      <c r="KOH260" s="565"/>
      <c r="KOI260" s="565"/>
      <c r="KOJ260" s="565"/>
      <c r="KOK260" s="565"/>
      <c r="KOL260" s="565"/>
      <c r="KOM260" s="565"/>
      <c r="KON260" s="566"/>
      <c r="KOO260" s="565"/>
      <c r="KOP260" s="565"/>
      <c r="KOQ260" s="565"/>
      <c r="KOR260" s="565"/>
      <c r="KOS260" s="565"/>
      <c r="KOT260" s="565"/>
      <c r="KOU260" s="565"/>
      <c r="KOV260" s="565"/>
      <c r="KOW260" s="565"/>
      <c r="KOX260" s="565"/>
      <c r="KOY260" s="565"/>
      <c r="KOZ260" s="565"/>
      <c r="KPA260" s="565"/>
      <c r="KPB260" s="565"/>
      <c r="KPC260" s="565"/>
      <c r="KPD260" s="565"/>
      <c r="KPE260" s="565"/>
      <c r="KPF260" s="565"/>
      <c r="KPG260" s="565"/>
      <c r="KPH260" s="566"/>
      <c r="KPI260" s="565"/>
      <c r="KPJ260" s="565"/>
      <c r="KPK260" s="565"/>
      <c r="KPL260" s="565"/>
      <c r="KPM260" s="565"/>
      <c r="KPN260" s="565"/>
      <c r="KPO260" s="565"/>
      <c r="KPP260" s="565"/>
      <c r="KPQ260" s="565"/>
      <c r="KPR260" s="565"/>
      <c r="KPS260" s="565"/>
      <c r="KPT260" s="565"/>
      <c r="KPU260" s="565"/>
      <c r="KPV260" s="565"/>
      <c r="KPW260" s="565"/>
      <c r="KPX260" s="565"/>
      <c r="KPY260" s="565"/>
      <c r="KPZ260" s="565"/>
      <c r="KQA260" s="565"/>
      <c r="KQB260" s="566"/>
      <c r="KQC260" s="565"/>
      <c r="KQD260" s="565"/>
      <c r="KQE260" s="565"/>
      <c r="KQF260" s="565"/>
      <c r="KQG260" s="565"/>
      <c r="KQH260" s="565"/>
      <c r="KQI260" s="565"/>
      <c r="KQJ260" s="565"/>
      <c r="KQK260" s="565"/>
      <c r="KQL260" s="565"/>
      <c r="KQM260" s="565"/>
      <c r="KQN260" s="565"/>
      <c r="KQO260" s="565"/>
      <c r="KQP260" s="565"/>
      <c r="KQQ260" s="565"/>
      <c r="KQR260" s="565"/>
      <c r="KQS260" s="565"/>
      <c r="KQT260" s="565"/>
      <c r="KQU260" s="565"/>
      <c r="KQV260" s="566"/>
      <c r="KQW260" s="565"/>
      <c r="KQX260" s="565"/>
      <c r="KQY260" s="565"/>
      <c r="KQZ260" s="565"/>
      <c r="KRA260" s="565"/>
      <c r="KRB260" s="565"/>
      <c r="KRC260" s="565"/>
      <c r="KRD260" s="565"/>
      <c r="KRE260" s="565"/>
      <c r="KRF260" s="565"/>
      <c r="KRG260" s="565"/>
      <c r="KRH260" s="565"/>
      <c r="KRI260" s="565"/>
      <c r="KRJ260" s="565"/>
      <c r="KRK260" s="565"/>
      <c r="KRL260" s="565"/>
      <c r="KRM260" s="565"/>
      <c r="KRN260" s="565"/>
      <c r="KRO260" s="565"/>
      <c r="KRP260" s="566"/>
      <c r="KRQ260" s="565"/>
      <c r="KRR260" s="565"/>
      <c r="KRS260" s="565"/>
      <c r="KRT260" s="565"/>
      <c r="KRU260" s="565"/>
      <c r="KRV260" s="565"/>
      <c r="KRW260" s="565"/>
      <c r="KRX260" s="565"/>
      <c r="KRY260" s="565"/>
      <c r="KRZ260" s="565"/>
      <c r="KSA260" s="565"/>
      <c r="KSB260" s="565"/>
      <c r="KSC260" s="565"/>
      <c r="KSD260" s="565"/>
      <c r="KSE260" s="565"/>
      <c r="KSF260" s="565"/>
      <c r="KSG260" s="565"/>
      <c r="KSH260" s="565"/>
      <c r="KSI260" s="565"/>
      <c r="KSJ260" s="566"/>
      <c r="KSK260" s="565"/>
      <c r="KSL260" s="565"/>
      <c r="KSM260" s="565"/>
      <c r="KSN260" s="565"/>
      <c r="KSO260" s="565"/>
      <c r="KSP260" s="565"/>
      <c r="KSQ260" s="565"/>
      <c r="KSR260" s="565"/>
      <c r="KSS260" s="565"/>
      <c r="KST260" s="565"/>
      <c r="KSU260" s="565"/>
      <c r="KSV260" s="565"/>
      <c r="KSW260" s="565"/>
      <c r="KSX260" s="565"/>
      <c r="KSY260" s="565"/>
      <c r="KSZ260" s="565"/>
      <c r="KTA260" s="565"/>
      <c r="KTB260" s="565"/>
      <c r="KTC260" s="565"/>
      <c r="KTD260" s="566"/>
      <c r="KTE260" s="565"/>
      <c r="KTF260" s="565"/>
      <c r="KTG260" s="565"/>
      <c r="KTH260" s="565"/>
      <c r="KTI260" s="565"/>
      <c r="KTJ260" s="565"/>
      <c r="KTK260" s="565"/>
      <c r="KTL260" s="565"/>
      <c r="KTM260" s="565"/>
      <c r="KTN260" s="565"/>
      <c r="KTO260" s="565"/>
      <c r="KTP260" s="565"/>
      <c r="KTQ260" s="565"/>
      <c r="KTR260" s="565"/>
      <c r="KTS260" s="565"/>
      <c r="KTT260" s="565"/>
      <c r="KTU260" s="565"/>
      <c r="KTV260" s="565"/>
      <c r="KTW260" s="565"/>
      <c r="KTX260" s="566"/>
      <c r="KTY260" s="565"/>
      <c r="KTZ260" s="565"/>
      <c r="KUA260" s="565"/>
      <c r="KUB260" s="565"/>
      <c r="KUC260" s="565"/>
      <c r="KUD260" s="565"/>
      <c r="KUE260" s="565"/>
      <c r="KUF260" s="565"/>
      <c r="KUG260" s="565"/>
      <c r="KUH260" s="565"/>
      <c r="KUI260" s="565"/>
      <c r="KUJ260" s="565"/>
      <c r="KUK260" s="565"/>
      <c r="KUL260" s="565"/>
      <c r="KUM260" s="565"/>
      <c r="KUN260" s="565"/>
      <c r="KUO260" s="565"/>
      <c r="KUP260" s="565"/>
      <c r="KUQ260" s="565"/>
      <c r="KUR260" s="566"/>
      <c r="KUS260" s="565"/>
      <c r="KUT260" s="565"/>
      <c r="KUU260" s="565"/>
      <c r="KUV260" s="565"/>
      <c r="KUW260" s="565"/>
      <c r="KUX260" s="565"/>
      <c r="KUY260" s="565"/>
      <c r="KUZ260" s="565"/>
      <c r="KVA260" s="565"/>
      <c r="KVB260" s="565"/>
      <c r="KVC260" s="565"/>
      <c r="KVD260" s="565"/>
      <c r="KVE260" s="565"/>
      <c r="KVF260" s="565"/>
      <c r="KVG260" s="565"/>
      <c r="KVH260" s="565"/>
      <c r="KVI260" s="565"/>
      <c r="KVJ260" s="565"/>
      <c r="KVK260" s="565"/>
      <c r="KVL260" s="566"/>
      <c r="KVM260" s="565"/>
      <c r="KVN260" s="565"/>
      <c r="KVO260" s="565"/>
      <c r="KVP260" s="565"/>
      <c r="KVQ260" s="565"/>
      <c r="KVR260" s="565"/>
      <c r="KVS260" s="565"/>
      <c r="KVT260" s="565"/>
      <c r="KVU260" s="565"/>
      <c r="KVV260" s="565"/>
      <c r="KVW260" s="565"/>
      <c r="KVX260" s="565"/>
      <c r="KVY260" s="565"/>
      <c r="KVZ260" s="565"/>
      <c r="KWA260" s="565"/>
      <c r="KWB260" s="565"/>
      <c r="KWC260" s="565"/>
      <c r="KWD260" s="565"/>
      <c r="KWE260" s="565"/>
      <c r="KWF260" s="566"/>
      <c r="KWG260" s="565"/>
      <c r="KWH260" s="565"/>
      <c r="KWI260" s="565"/>
      <c r="KWJ260" s="565"/>
      <c r="KWK260" s="565"/>
      <c r="KWL260" s="565"/>
      <c r="KWM260" s="565"/>
      <c r="KWN260" s="565"/>
      <c r="KWO260" s="565"/>
      <c r="KWP260" s="565"/>
      <c r="KWQ260" s="565"/>
      <c r="KWR260" s="565"/>
      <c r="KWS260" s="565"/>
      <c r="KWT260" s="565"/>
      <c r="KWU260" s="565"/>
      <c r="KWV260" s="565"/>
      <c r="KWW260" s="565"/>
      <c r="KWX260" s="565"/>
      <c r="KWY260" s="565"/>
      <c r="KWZ260" s="566"/>
      <c r="KXA260" s="565"/>
      <c r="KXB260" s="565"/>
      <c r="KXC260" s="565"/>
      <c r="KXD260" s="565"/>
      <c r="KXE260" s="565"/>
      <c r="KXF260" s="565"/>
      <c r="KXG260" s="565"/>
      <c r="KXH260" s="565"/>
      <c r="KXI260" s="565"/>
      <c r="KXJ260" s="565"/>
      <c r="KXK260" s="565"/>
      <c r="KXL260" s="565"/>
      <c r="KXM260" s="565"/>
      <c r="KXN260" s="565"/>
      <c r="KXO260" s="565"/>
      <c r="KXP260" s="565"/>
      <c r="KXQ260" s="565"/>
      <c r="KXR260" s="565"/>
      <c r="KXS260" s="565"/>
      <c r="KXT260" s="566"/>
      <c r="KXU260" s="565"/>
      <c r="KXV260" s="565"/>
      <c r="KXW260" s="565"/>
      <c r="KXX260" s="565"/>
      <c r="KXY260" s="565"/>
      <c r="KXZ260" s="565"/>
      <c r="KYA260" s="565"/>
      <c r="KYB260" s="565"/>
      <c r="KYC260" s="565"/>
      <c r="KYD260" s="565"/>
      <c r="KYE260" s="565"/>
      <c r="KYF260" s="565"/>
      <c r="KYG260" s="565"/>
      <c r="KYH260" s="565"/>
      <c r="KYI260" s="565"/>
      <c r="KYJ260" s="565"/>
      <c r="KYK260" s="565"/>
      <c r="KYL260" s="565"/>
      <c r="KYM260" s="565"/>
      <c r="KYN260" s="566"/>
      <c r="KYO260" s="565"/>
      <c r="KYP260" s="565"/>
      <c r="KYQ260" s="565"/>
      <c r="KYR260" s="565"/>
      <c r="KYS260" s="565"/>
      <c r="KYT260" s="565"/>
      <c r="KYU260" s="565"/>
      <c r="KYV260" s="565"/>
      <c r="KYW260" s="565"/>
      <c r="KYX260" s="565"/>
      <c r="KYY260" s="565"/>
      <c r="KYZ260" s="565"/>
      <c r="KZA260" s="565"/>
      <c r="KZB260" s="565"/>
      <c r="KZC260" s="565"/>
      <c r="KZD260" s="565"/>
      <c r="KZE260" s="565"/>
      <c r="KZF260" s="565"/>
      <c r="KZG260" s="565"/>
      <c r="KZH260" s="566"/>
      <c r="KZI260" s="565"/>
      <c r="KZJ260" s="565"/>
      <c r="KZK260" s="565"/>
      <c r="KZL260" s="565"/>
      <c r="KZM260" s="565"/>
      <c r="KZN260" s="565"/>
      <c r="KZO260" s="565"/>
      <c r="KZP260" s="565"/>
      <c r="KZQ260" s="565"/>
      <c r="KZR260" s="565"/>
      <c r="KZS260" s="565"/>
      <c r="KZT260" s="565"/>
      <c r="KZU260" s="565"/>
      <c r="KZV260" s="565"/>
      <c r="KZW260" s="565"/>
      <c r="KZX260" s="565"/>
      <c r="KZY260" s="565"/>
      <c r="KZZ260" s="565"/>
      <c r="LAA260" s="565"/>
      <c r="LAB260" s="566"/>
      <c r="LAC260" s="565"/>
      <c r="LAD260" s="565"/>
      <c r="LAE260" s="565"/>
      <c r="LAF260" s="565"/>
      <c r="LAG260" s="565"/>
      <c r="LAH260" s="565"/>
      <c r="LAI260" s="565"/>
      <c r="LAJ260" s="565"/>
      <c r="LAK260" s="565"/>
      <c r="LAL260" s="565"/>
      <c r="LAM260" s="565"/>
      <c r="LAN260" s="565"/>
      <c r="LAO260" s="565"/>
      <c r="LAP260" s="565"/>
      <c r="LAQ260" s="565"/>
      <c r="LAR260" s="565"/>
      <c r="LAS260" s="565"/>
      <c r="LAT260" s="565"/>
      <c r="LAU260" s="565"/>
      <c r="LAV260" s="566"/>
      <c r="LAW260" s="565"/>
      <c r="LAX260" s="565"/>
      <c r="LAY260" s="565"/>
      <c r="LAZ260" s="565"/>
      <c r="LBA260" s="565"/>
      <c r="LBB260" s="565"/>
      <c r="LBC260" s="565"/>
      <c r="LBD260" s="565"/>
      <c r="LBE260" s="565"/>
      <c r="LBF260" s="565"/>
      <c r="LBG260" s="565"/>
      <c r="LBH260" s="565"/>
      <c r="LBI260" s="565"/>
      <c r="LBJ260" s="565"/>
      <c r="LBK260" s="565"/>
      <c r="LBL260" s="565"/>
      <c r="LBM260" s="565"/>
      <c r="LBN260" s="565"/>
      <c r="LBO260" s="565"/>
      <c r="LBP260" s="566"/>
      <c r="LBQ260" s="565"/>
      <c r="LBR260" s="565"/>
      <c r="LBS260" s="565"/>
      <c r="LBT260" s="565"/>
      <c r="LBU260" s="565"/>
      <c r="LBV260" s="565"/>
      <c r="LBW260" s="565"/>
      <c r="LBX260" s="565"/>
      <c r="LBY260" s="565"/>
      <c r="LBZ260" s="565"/>
      <c r="LCA260" s="565"/>
      <c r="LCB260" s="565"/>
      <c r="LCC260" s="565"/>
      <c r="LCD260" s="565"/>
      <c r="LCE260" s="565"/>
      <c r="LCF260" s="565"/>
      <c r="LCG260" s="565"/>
      <c r="LCH260" s="565"/>
      <c r="LCI260" s="565"/>
      <c r="LCJ260" s="566"/>
      <c r="LCK260" s="565"/>
      <c r="LCL260" s="565"/>
      <c r="LCM260" s="565"/>
      <c r="LCN260" s="565"/>
      <c r="LCO260" s="565"/>
      <c r="LCP260" s="565"/>
      <c r="LCQ260" s="565"/>
      <c r="LCR260" s="565"/>
      <c r="LCS260" s="565"/>
      <c r="LCT260" s="565"/>
      <c r="LCU260" s="565"/>
      <c r="LCV260" s="565"/>
      <c r="LCW260" s="565"/>
      <c r="LCX260" s="565"/>
      <c r="LCY260" s="565"/>
      <c r="LCZ260" s="565"/>
      <c r="LDA260" s="565"/>
      <c r="LDB260" s="565"/>
      <c r="LDC260" s="565"/>
      <c r="LDD260" s="566"/>
      <c r="LDE260" s="565"/>
      <c r="LDF260" s="565"/>
      <c r="LDG260" s="565"/>
      <c r="LDH260" s="565"/>
      <c r="LDI260" s="565"/>
      <c r="LDJ260" s="565"/>
      <c r="LDK260" s="565"/>
      <c r="LDL260" s="565"/>
      <c r="LDM260" s="565"/>
      <c r="LDN260" s="565"/>
      <c r="LDO260" s="565"/>
      <c r="LDP260" s="565"/>
      <c r="LDQ260" s="565"/>
      <c r="LDR260" s="565"/>
      <c r="LDS260" s="565"/>
      <c r="LDT260" s="565"/>
      <c r="LDU260" s="565"/>
      <c r="LDV260" s="565"/>
      <c r="LDW260" s="565"/>
      <c r="LDX260" s="566"/>
      <c r="LDY260" s="565"/>
      <c r="LDZ260" s="565"/>
      <c r="LEA260" s="565"/>
      <c r="LEB260" s="565"/>
      <c r="LEC260" s="565"/>
      <c r="LED260" s="565"/>
      <c r="LEE260" s="565"/>
      <c r="LEF260" s="565"/>
      <c r="LEG260" s="565"/>
      <c r="LEH260" s="565"/>
      <c r="LEI260" s="565"/>
      <c r="LEJ260" s="565"/>
      <c r="LEK260" s="565"/>
      <c r="LEL260" s="565"/>
      <c r="LEM260" s="565"/>
      <c r="LEN260" s="565"/>
      <c r="LEO260" s="565"/>
      <c r="LEP260" s="565"/>
      <c r="LEQ260" s="565"/>
      <c r="LER260" s="566"/>
      <c r="LES260" s="565"/>
      <c r="LET260" s="565"/>
      <c r="LEU260" s="565"/>
      <c r="LEV260" s="565"/>
      <c r="LEW260" s="565"/>
      <c r="LEX260" s="565"/>
      <c r="LEY260" s="565"/>
      <c r="LEZ260" s="565"/>
      <c r="LFA260" s="565"/>
      <c r="LFB260" s="565"/>
      <c r="LFC260" s="565"/>
      <c r="LFD260" s="565"/>
      <c r="LFE260" s="565"/>
      <c r="LFF260" s="565"/>
      <c r="LFG260" s="565"/>
      <c r="LFH260" s="565"/>
      <c r="LFI260" s="565"/>
      <c r="LFJ260" s="565"/>
      <c r="LFK260" s="565"/>
      <c r="LFL260" s="566"/>
      <c r="LFM260" s="565"/>
      <c r="LFN260" s="565"/>
      <c r="LFO260" s="565"/>
      <c r="LFP260" s="565"/>
      <c r="LFQ260" s="565"/>
      <c r="LFR260" s="565"/>
      <c r="LFS260" s="565"/>
      <c r="LFT260" s="565"/>
      <c r="LFU260" s="565"/>
      <c r="LFV260" s="565"/>
      <c r="LFW260" s="565"/>
      <c r="LFX260" s="565"/>
      <c r="LFY260" s="565"/>
      <c r="LFZ260" s="565"/>
      <c r="LGA260" s="565"/>
      <c r="LGB260" s="565"/>
      <c r="LGC260" s="565"/>
      <c r="LGD260" s="565"/>
      <c r="LGE260" s="565"/>
      <c r="LGF260" s="566"/>
      <c r="LGG260" s="565"/>
      <c r="LGH260" s="565"/>
      <c r="LGI260" s="565"/>
      <c r="LGJ260" s="565"/>
      <c r="LGK260" s="565"/>
      <c r="LGL260" s="565"/>
      <c r="LGM260" s="565"/>
      <c r="LGN260" s="565"/>
      <c r="LGO260" s="565"/>
      <c r="LGP260" s="565"/>
      <c r="LGQ260" s="565"/>
      <c r="LGR260" s="565"/>
      <c r="LGS260" s="565"/>
      <c r="LGT260" s="565"/>
      <c r="LGU260" s="565"/>
      <c r="LGV260" s="565"/>
      <c r="LGW260" s="565"/>
      <c r="LGX260" s="565"/>
      <c r="LGY260" s="565"/>
      <c r="LGZ260" s="566"/>
      <c r="LHA260" s="565"/>
      <c r="LHB260" s="565"/>
      <c r="LHC260" s="565"/>
      <c r="LHD260" s="565"/>
      <c r="LHE260" s="565"/>
      <c r="LHF260" s="565"/>
      <c r="LHG260" s="565"/>
      <c r="LHH260" s="565"/>
      <c r="LHI260" s="565"/>
      <c r="LHJ260" s="565"/>
      <c r="LHK260" s="565"/>
      <c r="LHL260" s="565"/>
      <c r="LHM260" s="565"/>
      <c r="LHN260" s="565"/>
      <c r="LHO260" s="565"/>
      <c r="LHP260" s="565"/>
      <c r="LHQ260" s="565"/>
      <c r="LHR260" s="565"/>
      <c r="LHS260" s="565"/>
      <c r="LHT260" s="566"/>
      <c r="LHU260" s="565"/>
      <c r="LHV260" s="565"/>
      <c r="LHW260" s="565"/>
      <c r="LHX260" s="565"/>
      <c r="LHY260" s="565"/>
      <c r="LHZ260" s="565"/>
      <c r="LIA260" s="565"/>
      <c r="LIB260" s="565"/>
      <c r="LIC260" s="565"/>
      <c r="LID260" s="565"/>
      <c r="LIE260" s="565"/>
      <c r="LIF260" s="565"/>
      <c r="LIG260" s="565"/>
      <c r="LIH260" s="565"/>
      <c r="LII260" s="565"/>
      <c r="LIJ260" s="565"/>
      <c r="LIK260" s="565"/>
      <c r="LIL260" s="565"/>
      <c r="LIM260" s="565"/>
      <c r="LIN260" s="566"/>
      <c r="LIO260" s="565"/>
      <c r="LIP260" s="565"/>
      <c r="LIQ260" s="565"/>
      <c r="LIR260" s="565"/>
      <c r="LIS260" s="565"/>
      <c r="LIT260" s="565"/>
      <c r="LIU260" s="565"/>
      <c r="LIV260" s="565"/>
      <c r="LIW260" s="565"/>
      <c r="LIX260" s="565"/>
      <c r="LIY260" s="565"/>
      <c r="LIZ260" s="565"/>
      <c r="LJA260" s="565"/>
      <c r="LJB260" s="565"/>
      <c r="LJC260" s="565"/>
      <c r="LJD260" s="565"/>
      <c r="LJE260" s="565"/>
      <c r="LJF260" s="565"/>
      <c r="LJG260" s="565"/>
      <c r="LJH260" s="566"/>
      <c r="LJI260" s="565"/>
      <c r="LJJ260" s="565"/>
      <c r="LJK260" s="565"/>
      <c r="LJL260" s="565"/>
      <c r="LJM260" s="565"/>
      <c r="LJN260" s="565"/>
      <c r="LJO260" s="565"/>
      <c r="LJP260" s="565"/>
      <c r="LJQ260" s="565"/>
      <c r="LJR260" s="565"/>
      <c r="LJS260" s="565"/>
      <c r="LJT260" s="565"/>
      <c r="LJU260" s="565"/>
      <c r="LJV260" s="565"/>
      <c r="LJW260" s="565"/>
      <c r="LJX260" s="565"/>
      <c r="LJY260" s="565"/>
      <c r="LJZ260" s="565"/>
      <c r="LKA260" s="565"/>
      <c r="LKB260" s="566"/>
      <c r="LKC260" s="565"/>
      <c r="LKD260" s="565"/>
      <c r="LKE260" s="565"/>
      <c r="LKF260" s="565"/>
      <c r="LKG260" s="565"/>
      <c r="LKH260" s="565"/>
      <c r="LKI260" s="565"/>
      <c r="LKJ260" s="565"/>
      <c r="LKK260" s="565"/>
      <c r="LKL260" s="565"/>
      <c r="LKM260" s="565"/>
      <c r="LKN260" s="565"/>
      <c r="LKO260" s="565"/>
      <c r="LKP260" s="565"/>
      <c r="LKQ260" s="565"/>
      <c r="LKR260" s="565"/>
      <c r="LKS260" s="565"/>
      <c r="LKT260" s="565"/>
      <c r="LKU260" s="565"/>
      <c r="LKV260" s="566"/>
      <c r="LKW260" s="565"/>
      <c r="LKX260" s="565"/>
      <c r="LKY260" s="565"/>
      <c r="LKZ260" s="565"/>
      <c r="LLA260" s="565"/>
      <c r="LLB260" s="565"/>
      <c r="LLC260" s="565"/>
      <c r="LLD260" s="565"/>
      <c r="LLE260" s="565"/>
      <c r="LLF260" s="565"/>
      <c r="LLG260" s="565"/>
      <c r="LLH260" s="565"/>
      <c r="LLI260" s="565"/>
      <c r="LLJ260" s="565"/>
      <c r="LLK260" s="565"/>
      <c r="LLL260" s="565"/>
      <c r="LLM260" s="565"/>
      <c r="LLN260" s="565"/>
      <c r="LLO260" s="565"/>
      <c r="LLP260" s="566"/>
      <c r="LLQ260" s="565"/>
      <c r="LLR260" s="565"/>
      <c r="LLS260" s="565"/>
      <c r="LLT260" s="565"/>
      <c r="LLU260" s="565"/>
      <c r="LLV260" s="565"/>
      <c r="LLW260" s="565"/>
      <c r="LLX260" s="565"/>
      <c r="LLY260" s="565"/>
      <c r="LLZ260" s="565"/>
      <c r="LMA260" s="565"/>
      <c r="LMB260" s="565"/>
      <c r="LMC260" s="565"/>
      <c r="LMD260" s="565"/>
      <c r="LME260" s="565"/>
      <c r="LMF260" s="565"/>
      <c r="LMG260" s="565"/>
      <c r="LMH260" s="565"/>
      <c r="LMI260" s="565"/>
      <c r="LMJ260" s="566"/>
      <c r="LMK260" s="565"/>
      <c r="LML260" s="565"/>
      <c r="LMM260" s="565"/>
      <c r="LMN260" s="565"/>
      <c r="LMO260" s="565"/>
      <c r="LMP260" s="565"/>
      <c r="LMQ260" s="565"/>
      <c r="LMR260" s="565"/>
      <c r="LMS260" s="565"/>
      <c r="LMT260" s="565"/>
      <c r="LMU260" s="565"/>
      <c r="LMV260" s="565"/>
      <c r="LMW260" s="565"/>
      <c r="LMX260" s="565"/>
      <c r="LMY260" s="565"/>
      <c r="LMZ260" s="565"/>
      <c r="LNA260" s="565"/>
      <c r="LNB260" s="565"/>
      <c r="LNC260" s="565"/>
      <c r="LND260" s="566"/>
      <c r="LNE260" s="565"/>
      <c r="LNF260" s="565"/>
      <c r="LNG260" s="565"/>
      <c r="LNH260" s="565"/>
      <c r="LNI260" s="565"/>
      <c r="LNJ260" s="565"/>
      <c r="LNK260" s="565"/>
      <c r="LNL260" s="565"/>
      <c r="LNM260" s="565"/>
      <c r="LNN260" s="565"/>
      <c r="LNO260" s="565"/>
      <c r="LNP260" s="565"/>
      <c r="LNQ260" s="565"/>
      <c r="LNR260" s="565"/>
      <c r="LNS260" s="565"/>
      <c r="LNT260" s="565"/>
      <c r="LNU260" s="565"/>
      <c r="LNV260" s="565"/>
      <c r="LNW260" s="565"/>
      <c r="LNX260" s="566"/>
      <c r="LNY260" s="565"/>
      <c r="LNZ260" s="565"/>
      <c r="LOA260" s="565"/>
      <c r="LOB260" s="565"/>
      <c r="LOC260" s="565"/>
      <c r="LOD260" s="565"/>
      <c r="LOE260" s="565"/>
      <c r="LOF260" s="565"/>
      <c r="LOG260" s="565"/>
      <c r="LOH260" s="565"/>
      <c r="LOI260" s="565"/>
      <c r="LOJ260" s="565"/>
      <c r="LOK260" s="565"/>
      <c r="LOL260" s="565"/>
      <c r="LOM260" s="565"/>
      <c r="LON260" s="565"/>
      <c r="LOO260" s="565"/>
      <c r="LOP260" s="565"/>
      <c r="LOQ260" s="565"/>
      <c r="LOR260" s="566"/>
      <c r="LOS260" s="565"/>
      <c r="LOT260" s="565"/>
      <c r="LOU260" s="565"/>
      <c r="LOV260" s="565"/>
      <c r="LOW260" s="565"/>
      <c r="LOX260" s="565"/>
      <c r="LOY260" s="565"/>
      <c r="LOZ260" s="565"/>
      <c r="LPA260" s="565"/>
      <c r="LPB260" s="565"/>
      <c r="LPC260" s="565"/>
      <c r="LPD260" s="565"/>
      <c r="LPE260" s="565"/>
      <c r="LPF260" s="565"/>
      <c r="LPG260" s="565"/>
      <c r="LPH260" s="565"/>
      <c r="LPI260" s="565"/>
      <c r="LPJ260" s="565"/>
      <c r="LPK260" s="565"/>
      <c r="LPL260" s="566"/>
      <c r="LPM260" s="565"/>
      <c r="LPN260" s="565"/>
      <c r="LPO260" s="565"/>
      <c r="LPP260" s="565"/>
      <c r="LPQ260" s="565"/>
      <c r="LPR260" s="565"/>
      <c r="LPS260" s="565"/>
      <c r="LPT260" s="565"/>
      <c r="LPU260" s="565"/>
      <c r="LPV260" s="565"/>
      <c r="LPW260" s="565"/>
      <c r="LPX260" s="565"/>
      <c r="LPY260" s="565"/>
      <c r="LPZ260" s="565"/>
      <c r="LQA260" s="565"/>
      <c r="LQB260" s="565"/>
      <c r="LQC260" s="565"/>
      <c r="LQD260" s="565"/>
      <c r="LQE260" s="565"/>
      <c r="LQF260" s="566"/>
      <c r="LQG260" s="565"/>
      <c r="LQH260" s="565"/>
      <c r="LQI260" s="565"/>
      <c r="LQJ260" s="565"/>
      <c r="LQK260" s="565"/>
      <c r="LQL260" s="565"/>
      <c r="LQM260" s="565"/>
      <c r="LQN260" s="565"/>
      <c r="LQO260" s="565"/>
      <c r="LQP260" s="565"/>
      <c r="LQQ260" s="565"/>
      <c r="LQR260" s="565"/>
      <c r="LQS260" s="565"/>
      <c r="LQT260" s="565"/>
      <c r="LQU260" s="565"/>
      <c r="LQV260" s="565"/>
      <c r="LQW260" s="565"/>
      <c r="LQX260" s="565"/>
      <c r="LQY260" s="565"/>
      <c r="LQZ260" s="566"/>
      <c r="LRA260" s="565"/>
      <c r="LRB260" s="565"/>
      <c r="LRC260" s="565"/>
      <c r="LRD260" s="565"/>
      <c r="LRE260" s="565"/>
      <c r="LRF260" s="565"/>
      <c r="LRG260" s="565"/>
      <c r="LRH260" s="565"/>
      <c r="LRI260" s="565"/>
      <c r="LRJ260" s="565"/>
      <c r="LRK260" s="565"/>
      <c r="LRL260" s="565"/>
      <c r="LRM260" s="565"/>
      <c r="LRN260" s="565"/>
      <c r="LRO260" s="565"/>
      <c r="LRP260" s="565"/>
      <c r="LRQ260" s="565"/>
      <c r="LRR260" s="565"/>
      <c r="LRS260" s="565"/>
      <c r="LRT260" s="566"/>
      <c r="LRU260" s="565"/>
      <c r="LRV260" s="565"/>
      <c r="LRW260" s="565"/>
      <c r="LRX260" s="565"/>
      <c r="LRY260" s="565"/>
      <c r="LRZ260" s="565"/>
      <c r="LSA260" s="565"/>
      <c r="LSB260" s="565"/>
      <c r="LSC260" s="565"/>
      <c r="LSD260" s="565"/>
      <c r="LSE260" s="565"/>
      <c r="LSF260" s="565"/>
      <c r="LSG260" s="565"/>
      <c r="LSH260" s="565"/>
      <c r="LSI260" s="565"/>
      <c r="LSJ260" s="565"/>
      <c r="LSK260" s="565"/>
      <c r="LSL260" s="565"/>
      <c r="LSM260" s="565"/>
      <c r="LSN260" s="566"/>
      <c r="LSO260" s="565"/>
      <c r="LSP260" s="565"/>
      <c r="LSQ260" s="565"/>
      <c r="LSR260" s="565"/>
      <c r="LSS260" s="565"/>
      <c r="LST260" s="565"/>
      <c r="LSU260" s="565"/>
      <c r="LSV260" s="565"/>
      <c r="LSW260" s="565"/>
      <c r="LSX260" s="565"/>
      <c r="LSY260" s="565"/>
      <c r="LSZ260" s="565"/>
      <c r="LTA260" s="565"/>
      <c r="LTB260" s="565"/>
      <c r="LTC260" s="565"/>
      <c r="LTD260" s="565"/>
      <c r="LTE260" s="565"/>
      <c r="LTF260" s="565"/>
      <c r="LTG260" s="565"/>
      <c r="LTH260" s="566"/>
      <c r="LTI260" s="565"/>
      <c r="LTJ260" s="565"/>
      <c r="LTK260" s="565"/>
      <c r="LTL260" s="565"/>
      <c r="LTM260" s="565"/>
      <c r="LTN260" s="565"/>
      <c r="LTO260" s="565"/>
      <c r="LTP260" s="565"/>
      <c r="LTQ260" s="565"/>
      <c r="LTR260" s="565"/>
      <c r="LTS260" s="565"/>
      <c r="LTT260" s="565"/>
      <c r="LTU260" s="565"/>
      <c r="LTV260" s="565"/>
      <c r="LTW260" s="565"/>
      <c r="LTX260" s="565"/>
      <c r="LTY260" s="565"/>
      <c r="LTZ260" s="565"/>
      <c r="LUA260" s="565"/>
      <c r="LUB260" s="566"/>
      <c r="LUC260" s="565"/>
      <c r="LUD260" s="565"/>
      <c r="LUE260" s="565"/>
      <c r="LUF260" s="565"/>
      <c r="LUG260" s="565"/>
      <c r="LUH260" s="565"/>
      <c r="LUI260" s="565"/>
      <c r="LUJ260" s="565"/>
      <c r="LUK260" s="565"/>
      <c r="LUL260" s="565"/>
      <c r="LUM260" s="565"/>
      <c r="LUN260" s="565"/>
      <c r="LUO260" s="565"/>
      <c r="LUP260" s="565"/>
      <c r="LUQ260" s="565"/>
      <c r="LUR260" s="565"/>
      <c r="LUS260" s="565"/>
      <c r="LUT260" s="565"/>
      <c r="LUU260" s="565"/>
      <c r="LUV260" s="566"/>
      <c r="LUW260" s="565"/>
      <c r="LUX260" s="565"/>
      <c r="LUY260" s="565"/>
      <c r="LUZ260" s="565"/>
      <c r="LVA260" s="565"/>
      <c r="LVB260" s="565"/>
      <c r="LVC260" s="565"/>
      <c r="LVD260" s="565"/>
      <c r="LVE260" s="565"/>
      <c r="LVF260" s="565"/>
      <c r="LVG260" s="565"/>
      <c r="LVH260" s="565"/>
      <c r="LVI260" s="565"/>
      <c r="LVJ260" s="565"/>
      <c r="LVK260" s="565"/>
      <c r="LVL260" s="565"/>
      <c r="LVM260" s="565"/>
      <c r="LVN260" s="565"/>
      <c r="LVO260" s="565"/>
      <c r="LVP260" s="566"/>
      <c r="LVQ260" s="565"/>
      <c r="LVR260" s="565"/>
      <c r="LVS260" s="565"/>
      <c r="LVT260" s="565"/>
      <c r="LVU260" s="565"/>
      <c r="LVV260" s="565"/>
      <c r="LVW260" s="565"/>
      <c r="LVX260" s="565"/>
      <c r="LVY260" s="565"/>
      <c r="LVZ260" s="565"/>
      <c r="LWA260" s="565"/>
      <c r="LWB260" s="565"/>
      <c r="LWC260" s="565"/>
      <c r="LWD260" s="565"/>
      <c r="LWE260" s="565"/>
      <c r="LWF260" s="565"/>
      <c r="LWG260" s="565"/>
      <c r="LWH260" s="565"/>
      <c r="LWI260" s="565"/>
      <c r="LWJ260" s="566"/>
      <c r="LWK260" s="565"/>
      <c r="LWL260" s="565"/>
      <c r="LWM260" s="565"/>
      <c r="LWN260" s="565"/>
      <c r="LWO260" s="565"/>
      <c r="LWP260" s="565"/>
      <c r="LWQ260" s="565"/>
      <c r="LWR260" s="565"/>
      <c r="LWS260" s="565"/>
      <c r="LWT260" s="565"/>
      <c r="LWU260" s="565"/>
      <c r="LWV260" s="565"/>
      <c r="LWW260" s="565"/>
      <c r="LWX260" s="565"/>
      <c r="LWY260" s="565"/>
      <c r="LWZ260" s="565"/>
      <c r="LXA260" s="565"/>
      <c r="LXB260" s="565"/>
      <c r="LXC260" s="565"/>
      <c r="LXD260" s="566"/>
      <c r="LXE260" s="565"/>
      <c r="LXF260" s="565"/>
      <c r="LXG260" s="565"/>
      <c r="LXH260" s="565"/>
      <c r="LXI260" s="565"/>
      <c r="LXJ260" s="565"/>
      <c r="LXK260" s="565"/>
      <c r="LXL260" s="565"/>
      <c r="LXM260" s="565"/>
      <c r="LXN260" s="565"/>
      <c r="LXO260" s="565"/>
      <c r="LXP260" s="565"/>
      <c r="LXQ260" s="565"/>
      <c r="LXR260" s="565"/>
      <c r="LXS260" s="565"/>
      <c r="LXT260" s="565"/>
      <c r="LXU260" s="565"/>
      <c r="LXV260" s="565"/>
      <c r="LXW260" s="565"/>
      <c r="LXX260" s="566"/>
      <c r="LXY260" s="565"/>
      <c r="LXZ260" s="565"/>
      <c r="LYA260" s="565"/>
      <c r="LYB260" s="565"/>
      <c r="LYC260" s="565"/>
      <c r="LYD260" s="565"/>
      <c r="LYE260" s="565"/>
      <c r="LYF260" s="565"/>
      <c r="LYG260" s="565"/>
      <c r="LYH260" s="565"/>
      <c r="LYI260" s="565"/>
      <c r="LYJ260" s="565"/>
      <c r="LYK260" s="565"/>
      <c r="LYL260" s="565"/>
      <c r="LYM260" s="565"/>
      <c r="LYN260" s="565"/>
      <c r="LYO260" s="565"/>
      <c r="LYP260" s="565"/>
      <c r="LYQ260" s="565"/>
      <c r="LYR260" s="566"/>
      <c r="LYS260" s="565"/>
      <c r="LYT260" s="565"/>
      <c r="LYU260" s="565"/>
      <c r="LYV260" s="565"/>
      <c r="LYW260" s="565"/>
      <c r="LYX260" s="565"/>
      <c r="LYY260" s="565"/>
      <c r="LYZ260" s="565"/>
      <c r="LZA260" s="565"/>
      <c r="LZB260" s="565"/>
      <c r="LZC260" s="565"/>
      <c r="LZD260" s="565"/>
      <c r="LZE260" s="565"/>
      <c r="LZF260" s="565"/>
      <c r="LZG260" s="565"/>
      <c r="LZH260" s="565"/>
      <c r="LZI260" s="565"/>
      <c r="LZJ260" s="565"/>
      <c r="LZK260" s="565"/>
      <c r="LZL260" s="566"/>
      <c r="LZM260" s="565"/>
      <c r="LZN260" s="565"/>
      <c r="LZO260" s="565"/>
      <c r="LZP260" s="565"/>
      <c r="LZQ260" s="565"/>
      <c r="LZR260" s="565"/>
      <c r="LZS260" s="565"/>
      <c r="LZT260" s="565"/>
      <c r="LZU260" s="565"/>
      <c r="LZV260" s="565"/>
      <c r="LZW260" s="565"/>
      <c r="LZX260" s="565"/>
      <c r="LZY260" s="565"/>
      <c r="LZZ260" s="565"/>
      <c r="MAA260" s="565"/>
      <c r="MAB260" s="565"/>
      <c r="MAC260" s="565"/>
      <c r="MAD260" s="565"/>
      <c r="MAE260" s="565"/>
      <c r="MAF260" s="566"/>
      <c r="MAG260" s="565"/>
      <c r="MAH260" s="565"/>
      <c r="MAI260" s="565"/>
      <c r="MAJ260" s="565"/>
      <c r="MAK260" s="565"/>
      <c r="MAL260" s="565"/>
      <c r="MAM260" s="565"/>
      <c r="MAN260" s="565"/>
      <c r="MAO260" s="565"/>
      <c r="MAP260" s="565"/>
      <c r="MAQ260" s="565"/>
      <c r="MAR260" s="565"/>
      <c r="MAS260" s="565"/>
      <c r="MAT260" s="565"/>
      <c r="MAU260" s="565"/>
      <c r="MAV260" s="565"/>
      <c r="MAW260" s="565"/>
      <c r="MAX260" s="565"/>
      <c r="MAY260" s="565"/>
      <c r="MAZ260" s="566"/>
      <c r="MBA260" s="565"/>
      <c r="MBB260" s="565"/>
      <c r="MBC260" s="565"/>
      <c r="MBD260" s="565"/>
      <c r="MBE260" s="565"/>
      <c r="MBF260" s="565"/>
      <c r="MBG260" s="565"/>
      <c r="MBH260" s="565"/>
      <c r="MBI260" s="565"/>
      <c r="MBJ260" s="565"/>
      <c r="MBK260" s="565"/>
      <c r="MBL260" s="565"/>
      <c r="MBM260" s="565"/>
      <c r="MBN260" s="565"/>
      <c r="MBO260" s="565"/>
      <c r="MBP260" s="565"/>
      <c r="MBQ260" s="565"/>
      <c r="MBR260" s="565"/>
      <c r="MBS260" s="565"/>
      <c r="MBT260" s="566"/>
      <c r="MBU260" s="565"/>
      <c r="MBV260" s="565"/>
      <c r="MBW260" s="565"/>
      <c r="MBX260" s="565"/>
      <c r="MBY260" s="565"/>
      <c r="MBZ260" s="565"/>
      <c r="MCA260" s="565"/>
      <c r="MCB260" s="565"/>
      <c r="MCC260" s="565"/>
      <c r="MCD260" s="565"/>
      <c r="MCE260" s="565"/>
      <c r="MCF260" s="565"/>
      <c r="MCG260" s="565"/>
      <c r="MCH260" s="565"/>
      <c r="MCI260" s="565"/>
      <c r="MCJ260" s="565"/>
      <c r="MCK260" s="565"/>
      <c r="MCL260" s="565"/>
      <c r="MCM260" s="565"/>
      <c r="MCN260" s="566"/>
      <c r="MCO260" s="565"/>
      <c r="MCP260" s="565"/>
      <c r="MCQ260" s="565"/>
      <c r="MCR260" s="565"/>
      <c r="MCS260" s="565"/>
      <c r="MCT260" s="565"/>
      <c r="MCU260" s="565"/>
      <c r="MCV260" s="565"/>
      <c r="MCW260" s="565"/>
      <c r="MCX260" s="565"/>
      <c r="MCY260" s="565"/>
      <c r="MCZ260" s="565"/>
      <c r="MDA260" s="565"/>
      <c r="MDB260" s="565"/>
      <c r="MDC260" s="565"/>
      <c r="MDD260" s="565"/>
      <c r="MDE260" s="565"/>
      <c r="MDF260" s="565"/>
      <c r="MDG260" s="565"/>
      <c r="MDH260" s="566"/>
      <c r="MDI260" s="565"/>
      <c r="MDJ260" s="565"/>
      <c r="MDK260" s="565"/>
      <c r="MDL260" s="565"/>
      <c r="MDM260" s="565"/>
      <c r="MDN260" s="565"/>
      <c r="MDO260" s="565"/>
      <c r="MDP260" s="565"/>
      <c r="MDQ260" s="565"/>
      <c r="MDR260" s="565"/>
      <c r="MDS260" s="565"/>
      <c r="MDT260" s="565"/>
      <c r="MDU260" s="565"/>
      <c r="MDV260" s="565"/>
      <c r="MDW260" s="565"/>
      <c r="MDX260" s="565"/>
      <c r="MDY260" s="565"/>
      <c r="MDZ260" s="565"/>
      <c r="MEA260" s="565"/>
      <c r="MEB260" s="566"/>
      <c r="MEC260" s="565"/>
      <c r="MED260" s="565"/>
      <c r="MEE260" s="565"/>
      <c r="MEF260" s="565"/>
      <c r="MEG260" s="565"/>
      <c r="MEH260" s="565"/>
      <c r="MEI260" s="565"/>
      <c r="MEJ260" s="565"/>
      <c r="MEK260" s="565"/>
      <c r="MEL260" s="565"/>
      <c r="MEM260" s="565"/>
      <c r="MEN260" s="565"/>
      <c r="MEO260" s="565"/>
      <c r="MEP260" s="565"/>
      <c r="MEQ260" s="565"/>
      <c r="MER260" s="565"/>
      <c r="MES260" s="565"/>
      <c r="MET260" s="565"/>
      <c r="MEU260" s="565"/>
      <c r="MEV260" s="566"/>
      <c r="MEW260" s="565"/>
      <c r="MEX260" s="565"/>
      <c r="MEY260" s="565"/>
      <c r="MEZ260" s="565"/>
      <c r="MFA260" s="565"/>
      <c r="MFB260" s="565"/>
      <c r="MFC260" s="565"/>
      <c r="MFD260" s="565"/>
      <c r="MFE260" s="565"/>
      <c r="MFF260" s="565"/>
      <c r="MFG260" s="565"/>
      <c r="MFH260" s="565"/>
      <c r="MFI260" s="565"/>
      <c r="MFJ260" s="565"/>
      <c r="MFK260" s="565"/>
      <c r="MFL260" s="565"/>
      <c r="MFM260" s="565"/>
      <c r="MFN260" s="565"/>
      <c r="MFO260" s="565"/>
      <c r="MFP260" s="566"/>
      <c r="MFQ260" s="565"/>
      <c r="MFR260" s="565"/>
      <c r="MFS260" s="565"/>
      <c r="MFT260" s="565"/>
      <c r="MFU260" s="565"/>
      <c r="MFV260" s="565"/>
      <c r="MFW260" s="565"/>
      <c r="MFX260" s="565"/>
      <c r="MFY260" s="565"/>
      <c r="MFZ260" s="565"/>
      <c r="MGA260" s="565"/>
      <c r="MGB260" s="565"/>
      <c r="MGC260" s="565"/>
      <c r="MGD260" s="565"/>
      <c r="MGE260" s="565"/>
      <c r="MGF260" s="565"/>
      <c r="MGG260" s="565"/>
      <c r="MGH260" s="565"/>
      <c r="MGI260" s="565"/>
      <c r="MGJ260" s="566"/>
      <c r="MGK260" s="565"/>
      <c r="MGL260" s="565"/>
      <c r="MGM260" s="565"/>
      <c r="MGN260" s="565"/>
      <c r="MGO260" s="565"/>
      <c r="MGP260" s="565"/>
      <c r="MGQ260" s="565"/>
      <c r="MGR260" s="565"/>
      <c r="MGS260" s="565"/>
      <c r="MGT260" s="565"/>
      <c r="MGU260" s="565"/>
      <c r="MGV260" s="565"/>
      <c r="MGW260" s="565"/>
      <c r="MGX260" s="565"/>
      <c r="MGY260" s="565"/>
      <c r="MGZ260" s="565"/>
      <c r="MHA260" s="565"/>
      <c r="MHB260" s="565"/>
      <c r="MHC260" s="565"/>
      <c r="MHD260" s="566"/>
      <c r="MHE260" s="565"/>
      <c r="MHF260" s="565"/>
      <c r="MHG260" s="565"/>
      <c r="MHH260" s="565"/>
      <c r="MHI260" s="565"/>
      <c r="MHJ260" s="565"/>
      <c r="MHK260" s="565"/>
      <c r="MHL260" s="565"/>
      <c r="MHM260" s="565"/>
      <c r="MHN260" s="565"/>
      <c r="MHO260" s="565"/>
      <c r="MHP260" s="565"/>
      <c r="MHQ260" s="565"/>
      <c r="MHR260" s="565"/>
      <c r="MHS260" s="565"/>
      <c r="MHT260" s="565"/>
      <c r="MHU260" s="565"/>
      <c r="MHV260" s="565"/>
      <c r="MHW260" s="565"/>
      <c r="MHX260" s="566"/>
      <c r="MHY260" s="565"/>
      <c r="MHZ260" s="565"/>
      <c r="MIA260" s="565"/>
      <c r="MIB260" s="565"/>
      <c r="MIC260" s="565"/>
      <c r="MID260" s="565"/>
      <c r="MIE260" s="565"/>
      <c r="MIF260" s="565"/>
      <c r="MIG260" s="565"/>
      <c r="MIH260" s="565"/>
      <c r="MII260" s="565"/>
      <c r="MIJ260" s="565"/>
      <c r="MIK260" s="565"/>
      <c r="MIL260" s="565"/>
      <c r="MIM260" s="565"/>
      <c r="MIN260" s="565"/>
      <c r="MIO260" s="565"/>
      <c r="MIP260" s="565"/>
      <c r="MIQ260" s="565"/>
      <c r="MIR260" s="566"/>
      <c r="MIS260" s="565"/>
      <c r="MIT260" s="565"/>
      <c r="MIU260" s="565"/>
      <c r="MIV260" s="565"/>
      <c r="MIW260" s="565"/>
      <c r="MIX260" s="565"/>
      <c r="MIY260" s="565"/>
      <c r="MIZ260" s="565"/>
      <c r="MJA260" s="565"/>
      <c r="MJB260" s="565"/>
      <c r="MJC260" s="565"/>
      <c r="MJD260" s="565"/>
      <c r="MJE260" s="565"/>
      <c r="MJF260" s="565"/>
      <c r="MJG260" s="565"/>
      <c r="MJH260" s="565"/>
      <c r="MJI260" s="565"/>
      <c r="MJJ260" s="565"/>
      <c r="MJK260" s="565"/>
      <c r="MJL260" s="566"/>
      <c r="MJM260" s="565"/>
      <c r="MJN260" s="565"/>
      <c r="MJO260" s="565"/>
      <c r="MJP260" s="565"/>
      <c r="MJQ260" s="565"/>
      <c r="MJR260" s="565"/>
      <c r="MJS260" s="565"/>
      <c r="MJT260" s="565"/>
      <c r="MJU260" s="565"/>
      <c r="MJV260" s="565"/>
      <c r="MJW260" s="565"/>
      <c r="MJX260" s="565"/>
      <c r="MJY260" s="565"/>
      <c r="MJZ260" s="565"/>
      <c r="MKA260" s="565"/>
      <c r="MKB260" s="565"/>
      <c r="MKC260" s="565"/>
      <c r="MKD260" s="565"/>
      <c r="MKE260" s="565"/>
      <c r="MKF260" s="566"/>
      <c r="MKG260" s="565"/>
      <c r="MKH260" s="565"/>
      <c r="MKI260" s="565"/>
      <c r="MKJ260" s="565"/>
      <c r="MKK260" s="565"/>
      <c r="MKL260" s="565"/>
      <c r="MKM260" s="565"/>
      <c r="MKN260" s="565"/>
      <c r="MKO260" s="565"/>
      <c r="MKP260" s="565"/>
      <c r="MKQ260" s="565"/>
      <c r="MKR260" s="565"/>
      <c r="MKS260" s="565"/>
      <c r="MKT260" s="565"/>
      <c r="MKU260" s="565"/>
      <c r="MKV260" s="565"/>
      <c r="MKW260" s="565"/>
      <c r="MKX260" s="565"/>
      <c r="MKY260" s="565"/>
      <c r="MKZ260" s="566"/>
      <c r="MLA260" s="565"/>
      <c r="MLB260" s="565"/>
      <c r="MLC260" s="565"/>
      <c r="MLD260" s="565"/>
      <c r="MLE260" s="565"/>
      <c r="MLF260" s="565"/>
      <c r="MLG260" s="565"/>
      <c r="MLH260" s="565"/>
      <c r="MLI260" s="565"/>
      <c r="MLJ260" s="565"/>
      <c r="MLK260" s="565"/>
      <c r="MLL260" s="565"/>
      <c r="MLM260" s="565"/>
      <c r="MLN260" s="565"/>
      <c r="MLO260" s="565"/>
      <c r="MLP260" s="565"/>
      <c r="MLQ260" s="565"/>
      <c r="MLR260" s="565"/>
      <c r="MLS260" s="565"/>
      <c r="MLT260" s="566"/>
      <c r="MLU260" s="565"/>
      <c r="MLV260" s="565"/>
      <c r="MLW260" s="565"/>
      <c r="MLX260" s="565"/>
      <c r="MLY260" s="565"/>
      <c r="MLZ260" s="565"/>
      <c r="MMA260" s="565"/>
      <c r="MMB260" s="565"/>
      <c r="MMC260" s="565"/>
      <c r="MMD260" s="565"/>
      <c r="MME260" s="565"/>
      <c r="MMF260" s="565"/>
      <c r="MMG260" s="565"/>
      <c r="MMH260" s="565"/>
      <c r="MMI260" s="565"/>
      <c r="MMJ260" s="565"/>
      <c r="MMK260" s="565"/>
      <c r="MML260" s="565"/>
      <c r="MMM260" s="565"/>
      <c r="MMN260" s="566"/>
      <c r="MMO260" s="565"/>
      <c r="MMP260" s="565"/>
      <c r="MMQ260" s="565"/>
      <c r="MMR260" s="565"/>
      <c r="MMS260" s="565"/>
      <c r="MMT260" s="565"/>
      <c r="MMU260" s="565"/>
      <c r="MMV260" s="565"/>
      <c r="MMW260" s="565"/>
      <c r="MMX260" s="565"/>
      <c r="MMY260" s="565"/>
      <c r="MMZ260" s="565"/>
      <c r="MNA260" s="565"/>
      <c r="MNB260" s="565"/>
      <c r="MNC260" s="565"/>
      <c r="MND260" s="565"/>
      <c r="MNE260" s="565"/>
      <c r="MNF260" s="565"/>
      <c r="MNG260" s="565"/>
      <c r="MNH260" s="566"/>
      <c r="MNI260" s="565"/>
      <c r="MNJ260" s="565"/>
      <c r="MNK260" s="565"/>
      <c r="MNL260" s="565"/>
      <c r="MNM260" s="565"/>
      <c r="MNN260" s="565"/>
      <c r="MNO260" s="565"/>
      <c r="MNP260" s="565"/>
      <c r="MNQ260" s="565"/>
      <c r="MNR260" s="565"/>
      <c r="MNS260" s="565"/>
      <c r="MNT260" s="565"/>
      <c r="MNU260" s="565"/>
      <c r="MNV260" s="565"/>
      <c r="MNW260" s="565"/>
      <c r="MNX260" s="565"/>
      <c r="MNY260" s="565"/>
      <c r="MNZ260" s="565"/>
      <c r="MOA260" s="565"/>
      <c r="MOB260" s="566"/>
      <c r="MOC260" s="565"/>
      <c r="MOD260" s="565"/>
      <c r="MOE260" s="565"/>
      <c r="MOF260" s="565"/>
      <c r="MOG260" s="565"/>
      <c r="MOH260" s="565"/>
      <c r="MOI260" s="565"/>
      <c r="MOJ260" s="565"/>
      <c r="MOK260" s="565"/>
      <c r="MOL260" s="565"/>
      <c r="MOM260" s="565"/>
      <c r="MON260" s="565"/>
      <c r="MOO260" s="565"/>
      <c r="MOP260" s="565"/>
      <c r="MOQ260" s="565"/>
      <c r="MOR260" s="565"/>
      <c r="MOS260" s="565"/>
      <c r="MOT260" s="565"/>
      <c r="MOU260" s="565"/>
      <c r="MOV260" s="566"/>
      <c r="MOW260" s="565"/>
      <c r="MOX260" s="565"/>
      <c r="MOY260" s="565"/>
      <c r="MOZ260" s="565"/>
      <c r="MPA260" s="565"/>
      <c r="MPB260" s="565"/>
      <c r="MPC260" s="565"/>
      <c r="MPD260" s="565"/>
      <c r="MPE260" s="565"/>
      <c r="MPF260" s="565"/>
      <c r="MPG260" s="565"/>
      <c r="MPH260" s="565"/>
      <c r="MPI260" s="565"/>
      <c r="MPJ260" s="565"/>
      <c r="MPK260" s="565"/>
      <c r="MPL260" s="565"/>
      <c r="MPM260" s="565"/>
      <c r="MPN260" s="565"/>
      <c r="MPO260" s="565"/>
      <c r="MPP260" s="566"/>
      <c r="MPQ260" s="565"/>
      <c r="MPR260" s="565"/>
      <c r="MPS260" s="565"/>
      <c r="MPT260" s="565"/>
      <c r="MPU260" s="565"/>
      <c r="MPV260" s="565"/>
      <c r="MPW260" s="565"/>
      <c r="MPX260" s="565"/>
      <c r="MPY260" s="565"/>
      <c r="MPZ260" s="565"/>
      <c r="MQA260" s="565"/>
      <c r="MQB260" s="565"/>
      <c r="MQC260" s="565"/>
      <c r="MQD260" s="565"/>
      <c r="MQE260" s="565"/>
      <c r="MQF260" s="565"/>
      <c r="MQG260" s="565"/>
      <c r="MQH260" s="565"/>
      <c r="MQI260" s="565"/>
      <c r="MQJ260" s="566"/>
      <c r="MQK260" s="565"/>
      <c r="MQL260" s="565"/>
      <c r="MQM260" s="565"/>
      <c r="MQN260" s="565"/>
      <c r="MQO260" s="565"/>
      <c r="MQP260" s="565"/>
      <c r="MQQ260" s="565"/>
      <c r="MQR260" s="565"/>
      <c r="MQS260" s="565"/>
      <c r="MQT260" s="565"/>
      <c r="MQU260" s="565"/>
      <c r="MQV260" s="565"/>
      <c r="MQW260" s="565"/>
      <c r="MQX260" s="565"/>
      <c r="MQY260" s="565"/>
      <c r="MQZ260" s="565"/>
      <c r="MRA260" s="565"/>
      <c r="MRB260" s="565"/>
      <c r="MRC260" s="565"/>
      <c r="MRD260" s="566"/>
      <c r="MRE260" s="565"/>
      <c r="MRF260" s="565"/>
      <c r="MRG260" s="565"/>
      <c r="MRH260" s="565"/>
      <c r="MRI260" s="565"/>
      <c r="MRJ260" s="565"/>
      <c r="MRK260" s="565"/>
      <c r="MRL260" s="565"/>
      <c r="MRM260" s="565"/>
      <c r="MRN260" s="565"/>
      <c r="MRO260" s="565"/>
      <c r="MRP260" s="565"/>
      <c r="MRQ260" s="565"/>
      <c r="MRR260" s="565"/>
      <c r="MRS260" s="565"/>
      <c r="MRT260" s="565"/>
      <c r="MRU260" s="565"/>
      <c r="MRV260" s="565"/>
      <c r="MRW260" s="565"/>
      <c r="MRX260" s="566"/>
      <c r="MRY260" s="565"/>
      <c r="MRZ260" s="565"/>
      <c r="MSA260" s="565"/>
      <c r="MSB260" s="565"/>
      <c r="MSC260" s="565"/>
      <c r="MSD260" s="565"/>
      <c r="MSE260" s="565"/>
      <c r="MSF260" s="565"/>
      <c r="MSG260" s="565"/>
      <c r="MSH260" s="565"/>
      <c r="MSI260" s="565"/>
      <c r="MSJ260" s="565"/>
      <c r="MSK260" s="565"/>
      <c r="MSL260" s="565"/>
      <c r="MSM260" s="565"/>
      <c r="MSN260" s="565"/>
      <c r="MSO260" s="565"/>
      <c r="MSP260" s="565"/>
      <c r="MSQ260" s="565"/>
      <c r="MSR260" s="566"/>
      <c r="MSS260" s="565"/>
      <c r="MST260" s="565"/>
      <c r="MSU260" s="565"/>
      <c r="MSV260" s="565"/>
      <c r="MSW260" s="565"/>
      <c r="MSX260" s="565"/>
      <c r="MSY260" s="565"/>
      <c r="MSZ260" s="565"/>
      <c r="MTA260" s="565"/>
      <c r="MTB260" s="565"/>
      <c r="MTC260" s="565"/>
      <c r="MTD260" s="565"/>
      <c r="MTE260" s="565"/>
      <c r="MTF260" s="565"/>
      <c r="MTG260" s="565"/>
      <c r="MTH260" s="565"/>
      <c r="MTI260" s="565"/>
      <c r="MTJ260" s="565"/>
      <c r="MTK260" s="565"/>
      <c r="MTL260" s="566"/>
      <c r="MTM260" s="565"/>
      <c r="MTN260" s="565"/>
      <c r="MTO260" s="565"/>
      <c r="MTP260" s="565"/>
      <c r="MTQ260" s="565"/>
      <c r="MTR260" s="565"/>
      <c r="MTS260" s="565"/>
      <c r="MTT260" s="565"/>
      <c r="MTU260" s="565"/>
      <c r="MTV260" s="565"/>
      <c r="MTW260" s="565"/>
      <c r="MTX260" s="565"/>
      <c r="MTY260" s="565"/>
      <c r="MTZ260" s="565"/>
      <c r="MUA260" s="565"/>
      <c r="MUB260" s="565"/>
      <c r="MUC260" s="565"/>
      <c r="MUD260" s="565"/>
      <c r="MUE260" s="565"/>
      <c r="MUF260" s="566"/>
      <c r="MUG260" s="565"/>
      <c r="MUH260" s="565"/>
      <c r="MUI260" s="565"/>
      <c r="MUJ260" s="565"/>
      <c r="MUK260" s="565"/>
      <c r="MUL260" s="565"/>
      <c r="MUM260" s="565"/>
      <c r="MUN260" s="565"/>
      <c r="MUO260" s="565"/>
      <c r="MUP260" s="565"/>
      <c r="MUQ260" s="565"/>
      <c r="MUR260" s="565"/>
      <c r="MUS260" s="565"/>
      <c r="MUT260" s="565"/>
      <c r="MUU260" s="565"/>
      <c r="MUV260" s="565"/>
      <c r="MUW260" s="565"/>
      <c r="MUX260" s="565"/>
      <c r="MUY260" s="565"/>
      <c r="MUZ260" s="566"/>
      <c r="MVA260" s="565"/>
      <c r="MVB260" s="565"/>
      <c r="MVC260" s="565"/>
      <c r="MVD260" s="565"/>
      <c r="MVE260" s="565"/>
      <c r="MVF260" s="565"/>
      <c r="MVG260" s="565"/>
      <c r="MVH260" s="565"/>
      <c r="MVI260" s="565"/>
      <c r="MVJ260" s="565"/>
      <c r="MVK260" s="565"/>
      <c r="MVL260" s="565"/>
      <c r="MVM260" s="565"/>
      <c r="MVN260" s="565"/>
      <c r="MVO260" s="565"/>
      <c r="MVP260" s="565"/>
      <c r="MVQ260" s="565"/>
      <c r="MVR260" s="565"/>
      <c r="MVS260" s="565"/>
      <c r="MVT260" s="566"/>
      <c r="MVU260" s="565"/>
      <c r="MVV260" s="565"/>
      <c r="MVW260" s="565"/>
      <c r="MVX260" s="565"/>
      <c r="MVY260" s="565"/>
      <c r="MVZ260" s="565"/>
      <c r="MWA260" s="565"/>
      <c r="MWB260" s="565"/>
      <c r="MWC260" s="565"/>
      <c r="MWD260" s="565"/>
      <c r="MWE260" s="565"/>
      <c r="MWF260" s="565"/>
      <c r="MWG260" s="565"/>
      <c r="MWH260" s="565"/>
      <c r="MWI260" s="565"/>
      <c r="MWJ260" s="565"/>
      <c r="MWK260" s="565"/>
      <c r="MWL260" s="565"/>
      <c r="MWM260" s="565"/>
      <c r="MWN260" s="566"/>
      <c r="MWO260" s="565"/>
      <c r="MWP260" s="565"/>
      <c r="MWQ260" s="565"/>
      <c r="MWR260" s="565"/>
      <c r="MWS260" s="565"/>
      <c r="MWT260" s="565"/>
      <c r="MWU260" s="565"/>
      <c r="MWV260" s="565"/>
      <c r="MWW260" s="565"/>
      <c r="MWX260" s="565"/>
      <c r="MWY260" s="565"/>
      <c r="MWZ260" s="565"/>
      <c r="MXA260" s="565"/>
      <c r="MXB260" s="565"/>
      <c r="MXC260" s="565"/>
      <c r="MXD260" s="565"/>
      <c r="MXE260" s="565"/>
      <c r="MXF260" s="565"/>
      <c r="MXG260" s="565"/>
      <c r="MXH260" s="566"/>
      <c r="MXI260" s="565"/>
      <c r="MXJ260" s="565"/>
      <c r="MXK260" s="565"/>
      <c r="MXL260" s="565"/>
      <c r="MXM260" s="565"/>
      <c r="MXN260" s="565"/>
      <c r="MXO260" s="565"/>
      <c r="MXP260" s="565"/>
      <c r="MXQ260" s="565"/>
      <c r="MXR260" s="565"/>
      <c r="MXS260" s="565"/>
      <c r="MXT260" s="565"/>
      <c r="MXU260" s="565"/>
      <c r="MXV260" s="565"/>
      <c r="MXW260" s="565"/>
      <c r="MXX260" s="565"/>
      <c r="MXY260" s="565"/>
      <c r="MXZ260" s="565"/>
      <c r="MYA260" s="565"/>
      <c r="MYB260" s="566"/>
      <c r="MYC260" s="565"/>
      <c r="MYD260" s="565"/>
      <c r="MYE260" s="565"/>
      <c r="MYF260" s="565"/>
      <c r="MYG260" s="565"/>
      <c r="MYH260" s="565"/>
      <c r="MYI260" s="565"/>
      <c r="MYJ260" s="565"/>
      <c r="MYK260" s="565"/>
      <c r="MYL260" s="565"/>
      <c r="MYM260" s="565"/>
      <c r="MYN260" s="565"/>
      <c r="MYO260" s="565"/>
      <c r="MYP260" s="565"/>
      <c r="MYQ260" s="565"/>
      <c r="MYR260" s="565"/>
      <c r="MYS260" s="565"/>
      <c r="MYT260" s="565"/>
      <c r="MYU260" s="565"/>
      <c r="MYV260" s="566"/>
      <c r="MYW260" s="565"/>
      <c r="MYX260" s="565"/>
      <c r="MYY260" s="565"/>
      <c r="MYZ260" s="565"/>
      <c r="MZA260" s="565"/>
      <c r="MZB260" s="565"/>
      <c r="MZC260" s="565"/>
      <c r="MZD260" s="565"/>
      <c r="MZE260" s="565"/>
      <c r="MZF260" s="565"/>
      <c r="MZG260" s="565"/>
      <c r="MZH260" s="565"/>
      <c r="MZI260" s="565"/>
      <c r="MZJ260" s="565"/>
      <c r="MZK260" s="565"/>
      <c r="MZL260" s="565"/>
      <c r="MZM260" s="565"/>
      <c r="MZN260" s="565"/>
      <c r="MZO260" s="565"/>
      <c r="MZP260" s="566"/>
      <c r="MZQ260" s="565"/>
      <c r="MZR260" s="565"/>
      <c r="MZS260" s="565"/>
      <c r="MZT260" s="565"/>
      <c r="MZU260" s="565"/>
      <c r="MZV260" s="565"/>
      <c r="MZW260" s="565"/>
      <c r="MZX260" s="565"/>
      <c r="MZY260" s="565"/>
      <c r="MZZ260" s="565"/>
      <c r="NAA260" s="565"/>
      <c r="NAB260" s="565"/>
      <c r="NAC260" s="565"/>
      <c r="NAD260" s="565"/>
      <c r="NAE260" s="565"/>
      <c r="NAF260" s="565"/>
      <c r="NAG260" s="565"/>
      <c r="NAH260" s="565"/>
      <c r="NAI260" s="565"/>
      <c r="NAJ260" s="566"/>
      <c r="NAK260" s="565"/>
      <c r="NAL260" s="565"/>
      <c r="NAM260" s="565"/>
      <c r="NAN260" s="565"/>
      <c r="NAO260" s="565"/>
      <c r="NAP260" s="565"/>
      <c r="NAQ260" s="565"/>
      <c r="NAR260" s="565"/>
      <c r="NAS260" s="565"/>
      <c r="NAT260" s="565"/>
      <c r="NAU260" s="565"/>
      <c r="NAV260" s="565"/>
      <c r="NAW260" s="565"/>
      <c r="NAX260" s="565"/>
      <c r="NAY260" s="565"/>
      <c r="NAZ260" s="565"/>
      <c r="NBA260" s="565"/>
      <c r="NBB260" s="565"/>
      <c r="NBC260" s="565"/>
      <c r="NBD260" s="566"/>
      <c r="NBE260" s="565"/>
      <c r="NBF260" s="565"/>
      <c r="NBG260" s="565"/>
      <c r="NBH260" s="565"/>
      <c r="NBI260" s="565"/>
      <c r="NBJ260" s="565"/>
      <c r="NBK260" s="565"/>
      <c r="NBL260" s="565"/>
      <c r="NBM260" s="565"/>
      <c r="NBN260" s="565"/>
      <c r="NBO260" s="565"/>
      <c r="NBP260" s="565"/>
      <c r="NBQ260" s="565"/>
      <c r="NBR260" s="565"/>
      <c r="NBS260" s="565"/>
      <c r="NBT260" s="565"/>
      <c r="NBU260" s="565"/>
      <c r="NBV260" s="565"/>
      <c r="NBW260" s="565"/>
      <c r="NBX260" s="566"/>
      <c r="NBY260" s="565"/>
      <c r="NBZ260" s="565"/>
      <c r="NCA260" s="565"/>
      <c r="NCB260" s="565"/>
      <c r="NCC260" s="565"/>
      <c r="NCD260" s="565"/>
      <c r="NCE260" s="565"/>
      <c r="NCF260" s="565"/>
      <c r="NCG260" s="565"/>
      <c r="NCH260" s="565"/>
      <c r="NCI260" s="565"/>
      <c r="NCJ260" s="565"/>
      <c r="NCK260" s="565"/>
      <c r="NCL260" s="565"/>
      <c r="NCM260" s="565"/>
      <c r="NCN260" s="565"/>
      <c r="NCO260" s="565"/>
      <c r="NCP260" s="565"/>
      <c r="NCQ260" s="565"/>
      <c r="NCR260" s="566"/>
      <c r="NCS260" s="565"/>
      <c r="NCT260" s="565"/>
      <c r="NCU260" s="565"/>
      <c r="NCV260" s="565"/>
      <c r="NCW260" s="565"/>
      <c r="NCX260" s="565"/>
      <c r="NCY260" s="565"/>
      <c r="NCZ260" s="565"/>
      <c r="NDA260" s="565"/>
      <c r="NDB260" s="565"/>
      <c r="NDC260" s="565"/>
      <c r="NDD260" s="565"/>
      <c r="NDE260" s="565"/>
      <c r="NDF260" s="565"/>
      <c r="NDG260" s="565"/>
      <c r="NDH260" s="565"/>
      <c r="NDI260" s="565"/>
      <c r="NDJ260" s="565"/>
      <c r="NDK260" s="565"/>
      <c r="NDL260" s="566"/>
      <c r="NDM260" s="565"/>
      <c r="NDN260" s="565"/>
      <c r="NDO260" s="565"/>
      <c r="NDP260" s="565"/>
      <c r="NDQ260" s="565"/>
      <c r="NDR260" s="565"/>
      <c r="NDS260" s="565"/>
      <c r="NDT260" s="565"/>
      <c r="NDU260" s="565"/>
      <c r="NDV260" s="565"/>
      <c r="NDW260" s="565"/>
      <c r="NDX260" s="565"/>
      <c r="NDY260" s="565"/>
      <c r="NDZ260" s="565"/>
      <c r="NEA260" s="565"/>
      <c r="NEB260" s="565"/>
      <c r="NEC260" s="565"/>
      <c r="NED260" s="565"/>
      <c r="NEE260" s="565"/>
      <c r="NEF260" s="566"/>
      <c r="NEG260" s="565"/>
      <c r="NEH260" s="565"/>
      <c r="NEI260" s="565"/>
      <c r="NEJ260" s="565"/>
      <c r="NEK260" s="565"/>
      <c r="NEL260" s="565"/>
      <c r="NEM260" s="565"/>
      <c r="NEN260" s="565"/>
      <c r="NEO260" s="565"/>
      <c r="NEP260" s="565"/>
      <c r="NEQ260" s="565"/>
      <c r="NER260" s="565"/>
      <c r="NES260" s="565"/>
      <c r="NET260" s="565"/>
      <c r="NEU260" s="565"/>
      <c r="NEV260" s="565"/>
      <c r="NEW260" s="565"/>
      <c r="NEX260" s="565"/>
      <c r="NEY260" s="565"/>
      <c r="NEZ260" s="566"/>
      <c r="NFA260" s="565"/>
      <c r="NFB260" s="565"/>
      <c r="NFC260" s="565"/>
      <c r="NFD260" s="565"/>
      <c r="NFE260" s="565"/>
      <c r="NFF260" s="565"/>
      <c r="NFG260" s="565"/>
      <c r="NFH260" s="565"/>
      <c r="NFI260" s="565"/>
      <c r="NFJ260" s="565"/>
      <c r="NFK260" s="565"/>
      <c r="NFL260" s="565"/>
      <c r="NFM260" s="565"/>
      <c r="NFN260" s="565"/>
      <c r="NFO260" s="565"/>
      <c r="NFP260" s="565"/>
      <c r="NFQ260" s="565"/>
      <c r="NFR260" s="565"/>
      <c r="NFS260" s="565"/>
      <c r="NFT260" s="566"/>
      <c r="NFU260" s="565"/>
      <c r="NFV260" s="565"/>
      <c r="NFW260" s="565"/>
      <c r="NFX260" s="565"/>
      <c r="NFY260" s="565"/>
      <c r="NFZ260" s="565"/>
      <c r="NGA260" s="565"/>
      <c r="NGB260" s="565"/>
      <c r="NGC260" s="565"/>
      <c r="NGD260" s="565"/>
      <c r="NGE260" s="565"/>
      <c r="NGF260" s="565"/>
      <c r="NGG260" s="565"/>
      <c r="NGH260" s="565"/>
      <c r="NGI260" s="565"/>
      <c r="NGJ260" s="565"/>
      <c r="NGK260" s="565"/>
      <c r="NGL260" s="565"/>
      <c r="NGM260" s="565"/>
      <c r="NGN260" s="566"/>
      <c r="NGO260" s="565"/>
      <c r="NGP260" s="565"/>
      <c r="NGQ260" s="565"/>
      <c r="NGR260" s="565"/>
      <c r="NGS260" s="565"/>
      <c r="NGT260" s="565"/>
      <c r="NGU260" s="565"/>
      <c r="NGV260" s="565"/>
      <c r="NGW260" s="565"/>
      <c r="NGX260" s="565"/>
      <c r="NGY260" s="565"/>
      <c r="NGZ260" s="565"/>
      <c r="NHA260" s="565"/>
      <c r="NHB260" s="565"/>
      <c r="NHC260" s="565"/>
      <c r="NHD260" s="565"/>
      <c r="NHE260" s="565"/>
      <c r="NHF260" s="565"/>
      <c r="NHG260" s="565"/>
      <c r="NHH260" s="566"/>
      <c r="NHI260" s="565"/>
      <c r="NHJ260" s="565"/>
      <c r="NHK260" s="565"/>
      <c r="NHL260" s="565"/>
      <c r="NHM260" s="565"/>
      <c r="NHN260" s="565"/>
      <c r="NHO260" s="565"/>
      <c r="NHP260" s="565"/>
      <c r="NHQ260" s="565"/>
      <c r="NHR260" s="565"/>
      <c r="NHS260" s="565"/>
      <c r="NHT260" s="565"/>
      <c r="NHU260" s="565"/>
      <c r="NHV260" s="565"/>
      <c r="NHW260" s="565"/>
      <c r="NHX260" s="565"/>
      <c r="NHY260" s="565"/>
      <c r="NHZ260" s="565"/>
      <c r="NIA260" s="565"/>
      <c r="NIB260" s="566"/>
      <c r="NIC260" s="565"/>
      <c r="NID260" s="565"/>
      <c r="NIE260" s="565"/>
      <c r="NIF260" s="565"/>
      <c r="NIG260" s="565"/>
      <c r="NIH260" s="565"/>
      <c r="NII260" s="565"/>
      <c r="NIJ260" s="565"/>
      <c r="NIK260" s="565"/>
      <c r="NIL260" s="565"/>
      <c r="NIM260" s="565"/>
      <c r="NIN260" s="565"/>
      <c r="NIO260" s="565"/>
      <c r="NIP260" s="565"/>
      <c r="NIQ260" s="565"/>
      <c r="NIR260" s="565"/>
      <c r="NIS260" s="565"/>
      <c r="NIT260" s="565"/>
      <c r="NIU260" s="565"/>
      <c r="NIV260" s="566"/>
      <c r="NIW260" s="565"/>
      <c r="NIX260" s="565"/>
      <c r="NIY260" s="565"/>
      <c r="NIZ260" s="565"/>
      <c r="NJA260" s="565"/>
      <c r="NJB260" s="565"/>
      <c r="NJC260" s="565"/>
      <c r="NJD260" s="565"/>
      <c r="NJE260" s="565"/>
      <c r="NJF260" s="565"/>
      <c r="NJG260" s="565"/>
      <c r="NJH260" s="565"/>
      <c r="NJI260" s="565"/>
      <c r="NJJ260" s="565"/>
      <c r="NJK260" s="565"/>
      <c r="NJL260" s="565"/>
      <c r="NJM260" s="565"/>
      <c r="NJN260" s="565"/>
      <c r="NJO260" s="565"/>
      <c r="NJP260" s="566"/>
      <c r="NJQ260" s="565"/>
      <c r="NJR260" s="565"/>
      <c r="NJS260" s="565"/>
      <c r="NJT260" s="565"/>
      <c r="NJU260" s="565"/>
      <c r="NJV260" s="565"/>
      <c r="NJW260" s="565"/>
      <c r="NJX260" s="565"/>
      <c r="NJY260" s="565"/>
      <c r="NJZ260" s="565"/>
      <c r="NKA260" s="565"/>
      <c r="NKB260" s="565"/>
      <c r="NKC260" s="565"/>
      <c r="NKD260" s="565"/>
      <c r="NKE260" s="565"/>
      <c r="NKF260" s="565"/>
      <c r="NKG260" s="565"/>
      <c r="NKH260" s="565"/>
      <c r="NKI260" s="565"/>
      <c r="NKJ260" s="566"/>
      <c r="NKK260" s="565"/>
      <c r="NKL260" s="565"/>
      <c r="NKM260" s="565"/>
      <c r="NKN260" s="565"/>
      <c r="NKO260" s="565"/>
      <c r="NKP260" s="565"/>
      <c r="NKQ260" s="565"/>
      <c r="NKR260" s="565"/>
      <c r="NKS260" s="565"/>
      <c r="NKT260" s="565"/>
      <c r="NKU260" s="565"/>
      <c r="NKV260" s="565"/>
      <c r="NKW260" s="565"/>
      <c r="NKX260" s="565"/>
      <c r="NKY260" s="565"/>
      <c r="NKZ260" s="565"/>
      <c r="NLA260" s="565"/>
      <c r="NLB260" s="565"/>
      <c r="NLC260" s="565"/>
      <c r="NLD260" s="566"/>
      <c r="NLE260" s="565"/>
      <c r="NLF260" s="565"/>
      <c r="NLG260" s="565"/>
      <c r="NLH260" s="565"/>
      <c r="NLI260" s="565"/>
      <c r="NLJ260" s="565"/>
      <c r="NLK260" s="565"/>
      <c r="NLL260" s="565"/>
      <c r="NLM260" s="565"/>
      <c r="NLN260" s="565"/>
      <c r="NLO260" s="565"/>
      <c r="NLP260" s="565"/>
      <c r="NLQ260" s="565"/>
      <c r="NLR260" s="565"/>
      <c r="NLS260" s="565"/>
      <c r="NLT260" s="565"/>
      <c r="NLU260" s="565"/>
      <c r="NLV260" s="565"/>
      <c r="NLW260" s="565"/>
      <c r="NLX260" s="566"/>
      <c r="NLY260" s="565"/>
      <c r="NLZ260" s="565"/>
      <c r="NMA260" s="565"/>
      <c r="NMB260" s="565"/>
      <c r="NMC260" s="565"/>
      <c r="NMD260" s="565"/>
      <c r="NME260" s="565"/>
      <c r="NMF260" s="565"/>
      <c r="NMG260" s="565"/>
      <c r="NMH260" s="565"/>
      <c r="NMI260" s="565"/>
      <c r="NMJ260" s="565"/>
      <c r="NMK260" s="565"/>
      <c r="NML260" s="565"/>
      <c r="NMM260" s="565"/>
      <c r="NMN260" s="565"/>
      <c r="NMO260" s="565"/>
      <c r="NMP260" s="565"/>
      <c r="NMQ260" s="565"/>
      <c r="NMR260" s="566"/>
      <c r="NMS260" s="565"/>
      <c r="NMT260" s="565"/>
      <c r="NMU260" s="565"/>
      <c r="NMV260" s="565"/>
      <c r="NMW260" s="565"/>
      <c r="NMX260" s="565"/>
      <c r="NMY260" s="565"/>
      <c r="NMZ260" s="565"/>
      <c r="NNA260" s="565"/>
      <c r="NNB260" s="565"/>
      <c r="NNC260" s="565"/>
      <c r="NND260" s="565"/>
      <c r="NNE260" s="565"/>
      <c r="NNF260" s="565"/>
      <c r="NNG260" s="565"/>
      <c r="NNH260" s="565"/>
      <c r="NNI260" s="565"/>
      <c r="NNJ260" s="565"/>
      <c r="NNK260" s="565"/>
      <c r="NNL260" s="566"/>
      <c r="NNM260" s="565"/>
      <c r="NNN260" s="565"/>
      <c r="NNO260" s="565"/>
      <c r="NNP260" s="565"/>
      <c r="NNQ260" s="565"/>
      <c r="NNR260" s="565"/>
      <c r="NNS260" s="565"/>
      <c r="NNT260" s="565"/>
      <c r="NNU260" s="565"/>
      <c r="NNV260" s="565"/>
      <c r="NNW260" s="565"/>
      <c r="NNX260" s="565"/>
      <c r="NNY260" s="565"/>
      <c r="NNZ260" s="565"/>
      <c r="NOA260" s="565"/>
      <c r="NOB260" s="565"/>
      <c r="NOC260" s="565"/>
      <c r="NOD260" s="565"/>
      <c r="NOE260" s="565"/>
      <c r="NOF260" s="566"/>
      <c r="NOG260" s="565"/>
      <c r="NOH260" s="565"/>
      <c r="NOI260" s="565"/>
      <c r="NOJ260" s="565"/>
      <c r="NOK260" s="565"/>
      <c r="NOL260" s="565"/>
      <c r="NOM260" s="565"/>
      <c r="NON260" s="565"/>
      <c r="NOO260" s="565"/>
      <c r="NOP260" s="565"/>
      <c r="NOQ260" s="565"/>
      <c r="NOR260" s="565"/>
      <c r="NOS260" s="565"/>
      <c r="NOT260" s="565"/>
      <c r="NOU260" s="565"/>
      <c r="NOV260" s="565"/>
      <c r="NOW260" s="565"/>
      <c r="NOX260" s="565"/>
      <c r="NOY260" s="565"/>
      <c r="NOZ260" s="566"/>
      <c r="NPA260" s="565"/>
      <c r="NPB260" s="565"/>
      <c r="NPC260" s="565"/>
      <c r="NPD260" s="565"/>
      <c r="NPE260" s="565"/>
      <c r="NPF260" s="565"/>
      <c r="NPG260" s="565"/>
      <c r="NPH260" s="565"/>
      <c r="NPI260" s="565"/>
      <c r="NPJ260" s="565"/>
      <c r="NPK260" s="565"/>
      <c r="NPL260" s="565"/>
      <c r="NPM260" s="565"/>
      <c r="NPN260" s="565"/>
      <c r="NPO260" s="565"/>
      <c r="NPP260" s="565"/>
      <c r="NPQ260" s="565"/>
      <c r="NPR260" s="565"/>
      <c r="NPS260" s="565"/>
      <c r="NPT260" s="566"/>
      <c r="NPU260" s="565"/>
      <c r="NPV260" s="565"/>
      <c r="NPW260" s="565"/>
      <c r="NPX260" s="565"/>
      <c r="NPY260" s="565"/>
      <c r="NPZ260" s="565"/>
      <c r="NQA260" s="565"/>
      <c r="NQB260" s="565"/>
      <c r="NQC260" s="565"/>
      <c r="NQD260" s="565"/>
      <c r="NQE260" s="565"/>
      <c r="NQF260" s="565"/>
      <c r="NQG260" s="565"/>
      <c r="NQH260" s="565"/>
      <c r="NQI260" s="565"/>
      <c r="NQJ260" s="565"/>
      <c r="NQK260" s="565"/>
      <c r="NQL260" s="565"/>
      <c r="NQM260" s="565"/>
      <c r="NQN260" s="566"/>
      <c r="NQO260" s="565"/>
      <c r="NQP260" s="565"/>
      <c r="NQQ260" s="565"/>
      <c r="NQR260" s="565"/>
      <c r="NQS260" s="565"/>
      <c r="NQT260" s="565"/>
      <c r="NQU260" s="565"/>
      <c r="NQV260" s="565"/>
      <c r="NQW260" s="565"/>
      <c r="NQX260" s="565"/>
      <c r="NQY260" s="565"/>
      <c r="NQZ260" s="565"/>
      <c r="NRA260" s="565"/>
      <c r="NRB260" s="565"/>
      <c r="NRC260" s="565"/>
      <c r="NRD260" s="565"/>
      <c r="NRE260" s="565"/>
      <c r="NRF260" s="565"/>
      <c r="NRG260" s="565"/>
      <c r="NRH260" s="566"/>
      <c r="NRI260" s="565"/>
      <c r="NRJ260" s="565"/>
      <c r="NRK260" s="565"/>
      <c r="NRL260" s="565"/>
      <c r="NRM260" s="565"/>
      <c r="NRN260" s="565"/>
      <c r="NRO260" s="565"/>
      <c r="NRP260" s="565"/>
      <c r="NRQ260" s="565"/>
      <c r="NRR260" s="565"/>
      <c r="NRS260" s="565"/>
      <c r="NRT260" s="565"/>
      <c r="NRU260" s="565"/>
      <c r="NRV260" s="565"/>
      <c r="NRW260" s="565"/>
      <c r="NRX260" s="565"/>
      <c r="NRY260" s="565"/>
      <c r="NRZ260" s="565"/>
      <c r="NSA260" s="565"/>
      <c r="NSB260" s="566"/>
      <c r="NSC260" s="565"/>
      <c r="NSD260" s="565"/>
      <c r="NSE260" s="565"/>
      <c r="NSF260" s="565"/>
      <c r="NSG260" s="565"/>
      <c r="NSH260" s="565"/>
      <c r="NSI260" s="565"/>
      <c r="NSJ260" s="565"/>
      <c r="NSK260" s="565"/>
      <c r="NSL260" s="565"/>
      <c r="NSM260" s="565"/>
      <c r="NSN260" s="565"/>
      <c r="NSO260" s="565"/>
      <c r="NSP260" s="565"/>
      <c r="NSQ260" s="565"/>
      <c r="NSR260" s="565"/>
      <c r="NSS260" s="565"/>
      <c r="NST260" s="565"/>
      <c r="NSU260" s="565"/>
      <c r="NSV260" s="566"/>
      <c r="NSW260" s="565"/>
      <c r="NSX260" s="565"/>
      <c r="NSY260" s="565"/>
      <c r="NSZ260" s="565"/>
      <c r="NTA260" s="565"/>
      <c r="NTB260" s="565"/>
      <c r="NTC260" s="565"/>
      <c r="NTD260" s="565"/>
      <c r="NTE260" s="565"/>
      <c r="NTF260" s="565"/>
      <c r="NTG260" s="565"/>
      <c r="NTH260" s="565"/>
      <c r="NTI260" s="565"/>
      <c r="NTJ260" s="565"/>
      <c r="NTK260" s="565"/>
      <c r="NTL260" s="565"/>
      <c r="NTM260" s="565"/>
      <c r="NTN260" s="565"/>
      <c r="NTO260" s="565"/>
      <c r="NTP260" s="566"/>
      <c r="NTQ260" s="565"/>
      <c r="NTR260" s="565"/>
      <c r="NTS260" s="565"/>
      <c r="NTT260" s="565"/>
      <c r="NTU260" s="565"/>
      <c r="NTV260" s="565"/>
      <c r="NTW260" s="565"/>
      <c r="NTX260" s="565"/>
      <c r="NTY260" s="565"/>
      <c r="NTZ260" s="565"/>
      <c r="NUA260" s="565"/>
      <c r="NUB260" s="565"/>
      <c r="NUC260" s="565"/>
      <c r="NUD260" s="565"/>
      <c r="NUE260" s="565"/>
      <c r="NUF260" s="565"/>
      <c r="NUG260" s="565"/>
      <c r="NUH260" s="565"/>
      <c r="NUI260" s="565"/>
      <c r="NUJ260" s="566"/>
      <c r="NUK260" s="565"/>
      <c r="NUL260" s="565"/>
      <c r="NUM260" s="565"/>
      <c r="NUN260" s="565"/>
      <c r="NUO260" s="565"/>
      <c r="NUP260" s="565"/>
      <c r="NUQ260" s="565"/>
      <c r="NUR260" s="565"/>
      <c r="NUS260" s="565"/>
      <c r="NUT260" s="565"/>
      <c r="NUU260" s="565"/>
      <c r="NUV260" s="565"/>
      <c r="NUW260" s="565"/>
      <c r="NUX260" s="565"/>
      <c r="NUY260" s="565"/>
      <c r="NUZ260" s="565"/>
      <c r="NVA260" s="565"/>
      <c r="NVB260" s="565"/>
      <c r="NVC260" s="565"/>
      <c r="NVD260" s="566"/>
      <c r="NVE260" s="565"/>
      <c r="NVF260" s="565"/>
      <c r="NVG260" s="565"/>
      <c r="NVH260" s="565"/>
      <c r="NVI260" s="565"/>
      <c r="NVJ260" s="565"/>
      <c r="NVK260" s="565"/>
      <c r="NVL260" s="565"/>
      <c r="NVM260" s="565"/>
      <c r="NVN260" s="565"/>
      <c r="NVO260" s="565"/>
      <c r="NVP260" s="565"/>
      <c r="NVQ260" s="565"/>
      <c r="NVR260" s="565"/>
      <c r="NVS260" s="565"/>
      <c r="NVT260" s="565"/>
      <c r="NVU260" s="565"/>
      <c r="NVV260" s="565"/>
      <c r="NVW260" s="565"/>
      <c r="NVX260" s="566"/>
      <c r="NVY260" s="565"/>
      <c r="NVZ260" s="565"/>
      <c r="NWA260" s="565"/>
      <c r="NWB260" s="565"/>
      <c r="NWC260" s="565"/>
      <c r="NWD260" s="565"/>
      <c r="NWE260" s="565"/>
      <c r="NWF260" s="565"/>
      <c r="NWG260" s="565"/>
      <c r="NWH260" s="565"/>
      <c r="NWI260" s="565"/>
      <c r="NWJ260" s="565"/>
      <c r="NWK260" s="565"/>
      <c r="NWL260" s="565"/>
      <c r="NWM260" s="565"/>
      <c r="NWN260" s="565"/>
      <c r="NWO260" s="565"/>
      <c r="NWP260" s="565"/>
      <c r="NWQ260" s="565"/>
      <c r="NWR260" s="566"/>
      <c r="NWS260" s="565"/>
      <c r="NWT260" s="565"/>
      <c r="NWU260" s="565"/>
      <c r="NWV260" s="565"/>
      <c r="NWW260" s="565"/>
      <c r="NWX260" s="565"/>
      <c r="NWY260" s="565"/>
      <c r="NWZ260" s="565"/>
      <c r="NXA260" s="565"/>
      <c r="NXB260" s="565"/>
      <c r="NXC260" s="565"/>
      <c r="NXD260" s="565"/>
      <c r="NXE260" s="565"/>
      <c r="NXF260" s="565"/>
      <c r="NXG260" s="565"/>
      <c r="NXH260" s="565"/>
      <c r="NXI260" s="565"/>
      <c r="NXJ260" s="565"/>
      <c r="NXK260" s="565"/>
      <c r="NXL260" s="566"/>
      <c r="NXM260" s="565"/>
      <c r="NXN260" s="565"/>
      <c r="NXO260" s="565"/>
      <c r="NXP260" s="565"/>
      <c r="NXQ260" s="565"/>
      <c r="NXR260" s="565"/>
      <c r="NXS260" s="565"/>
      <c r="NXT260" s="565"/>
      <c r="NXU260" s="565"/>
      <c r="NXV260" s="565"/>
      <c r="NXW260" s="565"/>
      <c r="NXX260" s="565"/>
      <c r="NXY260" s="565"/>
      <c r="NXZ260" s="565"/>
      <c r="NYA260" s="565"/>
      <c r="NYB260" s="565"/>
      <c r="NYC260" s="565"/>
      <c r="NYD260" s="565"/>
      <c r="NYE260" s="565"/>
      <c r="NYF260" s="566"/>
      <c r="NYG260" s="565"/>
      <c r="NYH260" s="565"/>
      <c r="NYI260" s="565"/>
      <c r="NYJ260" s="565"/>
      <c r="NYK260" s="565"/>
      <c r="NYL260" s="565"/>
      <c r="NYM260" s="565"/>
      <c r="NYN260" s="565"/>
      <c r="NYO260" s="565"/>
      <c r="NYP260" s="565"/>
      <c r="NYQ260" s="565"/>
      <c r="NYR260" s="565"/>
      <c r="NYS260" s="565"/>
      <c r="NYT260" s="565"/>
      <c r="NYU260" s="565"/>
      <c r="NYV260" s="565"/>
      <c r="NYW260" s="565"/>
      <c r="NYX260" s="565"/>
      <c r="NYY260" s="565"/>
      <c r="NYZ260" s="566"/>
      <c r="NZA260" s="565"/>
      <c r="NZB260" s="565"/>
      <c r="NZC260" s="565"/>
      <c r="NZD260" s="565"/>
      <c r="NZE260" s="565"/>
      <c r="NZF260" s="565"/>
      <c r="NZG260" s="565"/>
      <c r="NZH260" s="565"/>
      <c r="NZI260" s="565"/>
      <c r="NZJ260" s="565"/>
      <c r="NZK260" s="565"/>
      <c r="NZL260" s="565"/>
      <c r="NZM260" s="565"/>
      <c r="NZN260" s="565"/>
      <c r="NZO260" s="565"/>
      <c r="NZP260" s="565"/>
      <c r="NZQ260" s="565"/>
      <c r="NZR260" s="565"/>
      <c r="NZS260" s="565"/>
      <c r="NZT260" s="566"/>
      <c r="NZU260" s="565"/>
      <c r="NZV260" s="565"/>
      <c r="NZW260" s="565"/>
      <c r="NZX260" s="565"/>
      <c r="NZY260" s="565"/>
      <c r="NZZ260" s="565"/>
      <c r="OAA260" s="565"/>
      <c r="OAB260" s="565"/>
      <c r="OAC260" s="565"/>
      <c r="OAD260" s="565"/>
      <c r="OAE260" s="565"/>
      <c r="OAF260" s="565"/>
      <c r="OAG260" s="565"/>
      <c r="OAH260" s="565"/>
      <c r="OAI260" s="565"/>
      <c r="OAJ260" s="565"/>
      <c r="OAK260" s="565"/>
      <c r="OAL260" s="565"/>
      <c r="OAM260" s="565"/>
      <c r="OAN260" s="566"/>
      <c r="OAO260" s="565"/>
      <c r="OAP260" s="565"/>
      <c r="OAQ260" s="565"/>
      <c r="OAR260" s="565"/>
      <c r="OAS260" s="565"/>
      <c r="OAT260" s="565"/>
      <c r="OAU260" s="565"/>
      <c r="OAV260" s="565"/>
      <c r="OAW260" s="565"/>
      <c r="OAX260" s="565"/>
      <c r="OAY260" s="565"/>
      <c r="OAZ260" s="565"/>
      <c r="OBA260" s="565"/>
      <c r="OBB260" s="565"/>
      <c r="OBC260" s="565"/>
      <c r="OBD260" s="565"/>
      <c r="OBE260" s="565"/>
      <c r="OBF260" s="565"/>
      <c r="OBG260" s="565"/>
      <c r="OBH260" s="566"/>
      <c r="OBI260" s="565"/>
      <c r="OBJ260" s="565"/>
      <c r="OBK260" s="565"/>
      <c r="OBL260" s="565"/>
      <c r="OBM260" s="565"/>
      <c r="OBN260" s="565"/>
      <c r="OBO260" s="565"/>
      <c r="OBP260" s="565"/>
      <c r="OBQ260" s="565"/>
      <c r="OBR260" s="565"/>
      <c r="OBS260" s="565"/>
      <c r="OBT260" s="565"/>
      <c r="OBU260" s="565"/>
      <c r="OBV260" s="565"/>
      <c r="OBW260" s="565"/>
      <c r="OBX260" s="565"/>
      <c r="OBY260" s="565"/>
      <c r="OBZ260" s="565"/>
      <c r="OCA260" s="565"/>
      <c r="OCB260" s="566"/>
      <c r="OCC260" s="565"/>
      <c r="OCD260" s="565"/>
      <c r="OCE260" s="565"/>
      <c r="OCF260" s="565"/>
      <c r="OCG260" s="565"/>
      <c r="OCH260" s="565"/>
      <c r="OCI260" s="565"/>
      <c r="OCJ260" s="565"/>
      <c r="OCK260" s="565"/>
      <c r="OCL260" s="565"/>
      <c r="OCM260" s="565"/>
      <c r="OCN260" s="565"/>
      <c r="OCO260" s="565"/>
      <c r="OCP260" s="565"/>
      <c r="OCQ260" s="565"/>
      <c r="OCR260" s="565"/>
      <c r="OCS260" s="565"/>
      <c r="OCT260" s="565"/>
      <c r="OCU260" s="565"/>
      <c r="OCV260" s="566"/>
      <c r="OCW260" s="565"/>
      <c r="OCX260" s="565"/>
      <c r="OCY260" s="565"/>
      <c r="OCZ260" s="565"/>
      <c r="ODA260" s="565"/>
      <c r="ODB260" s="565"/>
      <c r="ODC260" s="565"/>
      <c r="ODD260" s="565"/>
      <c r="ODE260" s="565"/>
      <c r="ODF260" s="565"/>
      <c r="ODG260" s="565"/>
      <c r="ODH260" s="565"/>
      <c r="ODI260" s="565"/>
      <c r="ODJ260" s="565"/>
      <c r="ODK260" s="565"/>
      <c r="ODL260" s="565"/>
      <c r="ODM260" s="565"/>
      <c r="ODN260" s="565"/>
      <c r="ODO260" s="565"/>
      <c r="ODP260" s="566"/>
      <c r="ODQ260" s="565"/>
      <c r="ODR260" s="565"/>
      <c r="ODS260" s="565"/>
      <c r="ODT260" s="565"/>
      <c r="ODU260" s="565"/>
      <c r="ODV260" s="565"/>
      <c r="ODW260" s="565"/>
      <c r="ODX260" s="565"/>
      <c r="ODY260" s="565"/>
      <c r="ODZ260" s="565"/>
      <c r="OEA260" s="565"/>
      <c r="OEB260" s="565"/>
      <c r="OEC260" s="565"/>
      <c r="OED260" s="565"/>
      <c r="OEE260" s="565"/>
      <c r="OEF260" s="565"/>
      <c r="OEG260" s="565"/>
      <c r="OEH260" s="565"/>
      <c r="OEI260" s="565"/>
      <c r="OEJ260" s="566"/>
      <c r="OEK260" s="565"/>
      <c r="OEL260" s="565"/>
      <c r="OEM260" s="565"/>
      <c r="OEN260" s="565"/>
      <c r="OEO260" s="565"/>
      <c r="OEP260" s="565"/>
      <c r="OEQ260" s="565"/>
      <c r="OER260" s="565"/>
      <c r="OES260" s="565"/>
      <c r="OET260" s="565"/>
      <c r="OEU260" s="565"/>
      <c r="OEV260" s="565"/>
      <c r="OEW260" s="565"/>
      <c r="OEX260" s="565"/>
      <c r="OEY260" s="565"/>
      <c r="OEZ260" s="565"/>
      <c r="OFA260" s="565"/>
      <c r="OFB260" s="565"/>
      <c r="OFC260" s="565"/>
      <c r="OFD260" s="566"/>
      <c r="OFE260" s="565"/>
      <c r="OFF260" s="565"/>
      <c r="OFG260" s="565"/>
      <c r="OFH260" s="565"/>
      <c r="OFI260" s="565"/>
      <c r="OFJ260" s="565"/>
      <c r="OFK260" s="565"/>
      <c r="OFL260" s="565"/>
      <c r="OFM260" s="565"/>
      <c r="OFN260" s="565"/>
      <c r="OFO260" s="565"/>
      <c r="OFP260" s="565"/>
      <c r="OFQ260" s="565"/>
      <c r="OFR260" s="565"/>
      <c r="OFS260" s="565"/>
      <c r="OFT260" s="565"/>
      <c r="OFU260" s="565"/>
      <c r="OFV260" s="565"/>
      <c r="OFW260" s="565"/>
      <c r="OFX260" s="566"/>
      <c r="OFY260" s="565"/>
      <c r="OFZ260" s="565"/>
      <c r="OGA260" s="565"/>
      <c r="OGB260" s="565"/>
      <c r="OGC260" s="565"/>
      <c r="OGD260" s="565"/>
      <c r="OGE260" s="565"/>
      <c r="OGF260" s="565"/>
      <c r="OGG260" s="565"/>
      <c r="OGH260" s="565"/>
      <c r="OGI260" s="565"/>
      <c r="OGJ260" s="565"/>
      <c r="OGK260" s="565"/>
      <c r="OGL260" s="565"/>
      <c r="OGM260" s="565"/>
      <c r="OGN260" s="565"/>
      <c r="OGO260" s="565"/>
      <c r="OGP260" s="565"/>
      <c r="OGQ260" s="565"/>
      <c r="OGR260" s="566"/>
      <c r="OGS260" s="565"/>
      <c r="OGT260" s="565"/>
      <c r="OGU260" s="565"/>
      <c r="OGV260" s="565"/>
      <c r="OGW260" s="565"/>
      <c r="OGX260" s="565"/>
      <c r="OGY260" s="565"/>
      <c r="OGZ260" s="565"/>
      <c r="OHA260" s="565"/>
      <c r="OHB260" s="565"/>
      <c r="OHC260" s="565"/>
      <c r="OHD260" s="565"/>
      <c r="OHE260" s="565"/>
      <c r="OHF260" s="565"/>
      <c r="OHG260" s="565"/>
      <c r="OHH260" s="565"/>
      <c r="OHI260" s="565"/>
      <c r="OHJ260" s="565"/>
      <c r="OHK260" s="565"/>
      <c r="OHL260" s="566"/>
      <c r="OHM260" s="565"/>
      <c r="OHN260" s="565"/>
      <c r="OHO260" s="565"/>
      <c r="OHP260" s="565"/>
      <c r="OHQ260" s="565"/>
      <c r="OHR260" s="565"/>
      <c r="OHS260" s="565"/>
      <c r="OHT260" s="565"/>
      <c r="OHU260" s="565"/>
      <c r="OHV260" s="565"/>
      <c r="OHW260" s="565"/>
      <c r="OHX260" s="565"/>
      <c r="OHY260" s="565"/>
      <c r="OHZ260" s="565"/>
      <c r="OIA260" s="565"/>
      <c r="OIB260" s="565"/>
      <c r="OIC260" s="565"/>
      <c r="OID260" s="565"/>
      <c r="OIE260" s="565"/>
      <c r="OIF260" s="566"/>
      <c r="OIG260" s="565"/>
      <c r="OIH260" s="565"/>
      <c r="OII260" s="565"/>
      <c r="OIJ260" s="565"/>
      <c r="OIK260" s="565"/>
      <c r="OIL260" s="565"/>
      <c r="OIM260" s="565"/>
      <c r="OIN260" s="565"/>
      <c r="OIO260" s="565"/>
      <c r="OIP260" s="565"/>
      <c r="OIQ260" s="565"/>
      <c r="OIR260" s="565"/>
      <c r="OIS260" s="565"/>
      <c r="OIT260" s="565"/>
      <c r="OIU260" s="565"/>
      <c r="OIV260" s="565"/>
      <c r="OIW260" s="565"/>
      <c r="OIX260" s="565"/>
      <c r="OIY260" s="565"/>
      <c r="OIZ260" s="566"/>
      <c r="OJA260" s="565"/>
      <c r="OJB260" s="565"/>
      <c r="OJC260" s="565"/>
      <c r="OJD260" s="565"/>
      <c r="OJE260" s="565"/>
      <c r="OJF260" s="565"/>
      <c r="OJG260" s="565"/>
      <c r="OJH260" s="565"/>
      <c r="OJI260" s="565"/>
      <c r="OJJ260" s="565"/>
      <c r="OJK260" s="565"/>
      <c r="OJL260" s="565"/>
      <c r="OJM260" s="565"/>
      <c r="OJN260" s="565"/>
      <c r="OJO260" s="565"/>
      <c r="OJP260" s="565"/>
      <c r="OJQ260" s="565"/>
      <c r="OJR260" s="565"/>
      <c r="OJS260" s="565"/>
      <c r="OJT260" s="566"/>
      <c r="OJU260" s="565"/>
      <c r="OJV260" s="565"/>
      <c r="OJW260" s="565"/>
      <c r="OJX260" s="565"/>
      <c r="OJY260" s="565"/>
      <c r="OJZ260" s="565"/>
      <c r="OKA260" s="565"/>
      <c r="OKB260" s="565"/>
      <c r="OKC260" s="565"/>
      <c r="OKD260" s="565"/>
      <c r="OKE260" s="565"/>
      <c r="OKF260" s="565"/>
      <c r="OKG260" s="565"/>
      <c r="OKH260" s="565"/>
      <c r="OKI260" s="565"/>
      <c r="OKJ260" s="565"/>
      <c r="OKK260" s="565"/>
      <c r="OKL260" s="565"/>
      <c r="OKM260" s="565"/>
      <c r="OKN260" s="566"/>
      <c r="OKO260" s="565"/>
      <c r="OKP260" s="565"/>
      <c r="OKQ260" s="565"/>
      <c r="OKR260" s="565"/>
      <c r="OKS260" s="565"/>
      <c r="OKT260" s="565"/>
      <c r="OKU260" s="565"/>
      <c r="OKV260" s="565"/>
      <c r="OKW260" s="565"/>
      <c r="OKX260" s="565"/>
      <c r="OKY260" s="565"/>
      <c r="OKZ260" s="565"/>
      <c r="OLA260" s="565"/>
      <c r="OLB260" s="565"/>
      <c r="OLC260" s="565"/>
      <c r="OLD260" s="565"/>
      <c r="OLE260" s="565"/>
      <c r="OLF260" s="565"/>
      <c r="OLG260" s="565"/>
      <c r="OLH260" s="566"/>
      <c r="OLI260" s="565"/>
      <c r="OLJ260" s="565"/>
      <c r="OLK260" s="565"/>
      <c r="OLL260" s="565"/>
      <c r="OLM260" s="565"/>
      <c r="OLN260" s="565"/>
      <c r="OLO260" s="565"/>
      <c r="OLP260" s="565"/>
      <c r="OLQ260" s="565"/>
      <c r="OLR260" s="565"/>
      <c r="OLS260" s="565"/>
      <c r="OLT260" s="565"/>
      <c r="OLU260" s="565"/>
      <c r="OLV260" s="565"/>
      <c r="OLW260" s="565"/>
      <c r="OLX260" s="565"/>
      <c r="OLY260" s="565"/>
      <c r="OLZ260" s="565"/>
      <c r="OMA260" s="565"/>
      <c r="OMB260" s="566"/>
      <c r="OMC260" s="565"/>
      <c r="OMD260" s="565"/>
      <c r="OME260" s="565"/>
      <c r="OMF260" s="565"/>
      <c r="OMG260" s="565"/>
      <c r="OMH260" s="565"/>
      <c r="OMI260" s="565"/>
      <c r="OMJ260" s="565"/>
      <c r="OMK260" s="565"/>
      <c r="OML260" s="565"/>
      <c r="OMM260" s="565"/>
      <c r="OMN260" s="565"/>
      <c r="OMO260" s="565"/>
      <c r="OMP260" s="565"/>
      <c r="OMQ260" s="565"/>
      <c r="OMR260" s="565"/>
      <c r="OMS260" s="565"/>
      <c r="OMT260" s="565"/>
      <c r="OMU260" s="565"/>
      <c r="OMV260" s="566"/>
      <c r="OMW260" s="565"/>
      <c r="OMX260" s="565"/>
      <c r="OMY260" s="565"/>
      <c r="OMZ260" s="565"/>
      <c r="ONA260" s="565"/>
      <c r="ONB260" s="565"/>
      <c r="ONC260" s="565"/>
      <c r="OND260" s="565"/>
      <c r="ONE260" s="565"/>
      <c r="ONF260" s="565"/>
      <c r="ONG260" s="565"/>
      <c r="ONH260" s="565"/>
      <c r="ONI260" s="565"/>
      <c r="ONJ260" s="565"/>
      <c r="ONK260" s="565"/>
      <c r="ONL260" s="565"/>
      <c r="ONM260" s="565"/>
      <c r="ONN260" s="565"/>
      <c r="ONO260" s="565"/>
      <c r="ONP260" s="566"/>
      <c r="ONQ260" s="565"/>
      <c r="ONR260" s="565"/>
      <c r="ONS260" s="565"/>
      <c r="ONT260" s="565"/>
      <c r="ONU260" s="565"/>
      <c r="ONV260" s="565"/>
      <c r="ONW260" s="565"/>
      <c r="ONX260" s="565"/>
      <c r="ONY260" s="565"/>
      <c r="ONZ260" s="565"/>
      <c r="OOA260" s="565"/>
      <c r="OOB260" s="565"/>
      <c r="OOC260" s="565"/>
      <c r="OOD260" s="565"/>
      <c r="OOE260" s="565"/>
      <c r="OOF260" s="565"/>
      <c r="OOG260" s="565"/>
      <c r="OOH260" s="565"/>
      <c r="OOI260" s="565"/>
      <c r="OOJ260" s="566"/>
      <c r="OOK260" s="565"/>
      <c r="OOL260" s="565"/>
      <c r="OOM260" s="565"/>
      <c r="OON260" s="565"/>
      <c r="OOO260" s="565"/>
      <c r="OOP260" s="565"/>
      <c r="OOQ260" s="565"/>
      <c r="OOR260" s="565"/>
      <c r="OOS260" s="565"/>
      <c r="OOT260" s="565"/>
      <c r="OOU260" s="565"/>
      <c r="OOV260" s="565"/>
      <c r="OOW260" s="565"/>
      <c r="OOX260" s="565"/>
      <c r="OOY260" s="565"/>
      <c r="OOZ260" s="565"/>
      <c r="OPA260" s="565"/>
      <c r="OPB260" s="565"/>
      <c r="OPC260" s="565"/>
      <c r="OPD260" s="566"/>
      <c r="OPE260" s="565"/>
      <c r="OPF260" s="565"/>
      <c r="OPG260" s="565"/>
      <c r="OPH260" s="565"/>
      <c r="OPI260" s="565"/>
      <c r="OPJ260" s="565"/>
      <c r="OPK260" s="565"/>
      <c r="OPL260" s="565"/>
      <c r="OPM260" s="565"/>
      <c r="OPN260" s="565"/>
      <c r="OPO260" s="565"/>
      <c r="OPP260" s="565"/>
      <c r="OPQ260" s="565"/>
      <c r="OPR260" s="565"/>
      <c r="OPS260" s="565"/>
      <c r="OPT260" s="565"/>
      <c r="OPU260" s="565"/>
      <c r="OPV260" s="565"/>
      <c r="OPW260" s="565"/>
      <c r="OPX260" s="566"/>
      <c r="OPY260" s="565"/>
      <c r="OPZ260" s="565"/>
      <c r="OQA260" s="565"/>
      <c r="OQB260" s="565"/>
      <c r="OQC260" s="565"/>
      <c r="OQD260" s="565"/>
      <c r="OQE260" s="565"/>
      <c r="OQF260" s="565"/>
      <c r="OQG260" s="565"/>
      <c r="OQH260" s="565"/>
      <c r="OQI260" s="565"/>
      <c r="OQJ260" s="565"/>
      <c r="OQK260" s="565"/>
      <c r="OQL260" s="565"/>
      <c r="OQM260" s="565"/>
      <c r="OQN260" s="565"/>
      <c r="OQO260" s="565"/>
      <c r="OQP260" s="565"/>
      <c r="OQQ260" s="565"/>
      <c r="OQR260" s="566"/>
      <c r="OQS260" s="565"/>
      <c r="OQT260" s="565"/>
      <c r="OQU260" s="565"/>
      <c r="OQV260" s="565"/>
      <c r="OQW260" s="565"/>
      <c r="OQX260" s="565"/>
      <c r="OQY260" s="565"/>
      <c r="OQZ260" s="565"/>
      <c r="ORA260" s="565"/>
      <c r="ORB260" s="565"/>
      <c r="ORC260" s="565"/>
      <c r="ORD260" s="565"/>
      <c r="ORE260" s="565"/>
      <c r="ORF260" s="565"/>
      <c r="ORG260" s="565"/>
      <c r="ORH260" s="565"/>
      <c r="ORI260" s="565"/>
      <c r="ORJ260" s="565"/>
      <c r="ORK260" s="565"/>
      <c r="ORL260" s="566"/>
      <c r="ORM260" s="565"/>
      <c r="ORN260" s="565"/>
      <c r="ORO260" s="565"/>
      <c r="ORP260" s="565"/>
      <c r="ORQ260" s="565"/>
      <c r="ORR260" s="565"/>
      <c r="ORS260" s="565"/>
      <c r="ORT260" s="565"/>
      <c r="ORU260" s="565"/>
      <c r="ORV260" s="565"/>
      <c r="ORW260" s="565"/>
      <c r="ORX260" s="565"/>
      <c r="ORY260" s="565"/>
      <c r="ORZ260" s="565"/>
      <c r="OSA260" s="565"/>
      <c r="OSB260" s="565"/>
      <c r="OSC260" s="565"/>
      <c r="OSD260" s="565"/>
      <c r="OSE260" s="565"/>
      <c r="OSF260" s="566"/>
      <c r="OSG260" s="565"/>
      <c r="OSH260" s="565"/>
      <c r="OSI260" s="565"/>
      <c r="OSJ260" s="565"/>
      <c r="OSK260" s="565"/>
      <c r="OSL260" s="565"/>
      <c r="OSM260" s="565"/>
      <c r="OSN260" s="565"/>
      <c r="OSO260" s="565"/>
      <c r="OSP260" s="565"/>
      <c r="OSQ260" s="565"/>
      <c r="OSR260" s="565"/>
      <c r="OSS260" s="565"/>
      <c r="OST260" s="565"/>
      <c r="OSU260" s="565"/>
      <c r="OSV260" s="565"/>
      <c r="OSW260" s="565"/>
      <c r="OSX260" s="565"/>
      <c r="OSY260" s="565"/>
      <c r="OSZ260" s="566"/>
      <c r="OTA260" s="565"/>
      <c r="OTB260" s="565"/>
      <c r="OTC260" s="565"/>
      <c r="OTD260" s="565"/>
      <c r="OTE260" s="565"/>
      <c r="OTF260" s="565"/>
      <c r="OTG260" s="565"/>
      <c r="OTH260" s="565"/>
      <c r="OTI260" s="565"/>
      <c r="OTJ260" s="565"/>
      <c r="OTK260" s="565"/>
      <c r="OTL260" s="565"/>
      <c r="OTM260" s="565"/>
      <c r="OTN260" s="565"/>
      <c r="OTO260" s="565"/>
      <c r="OTP260" s="565"/>
      <c r="OTQ260" s="565"/>
      <c r="OTR260" s="565"/>
      <c r="OTS260" s="565"/>
      <c r="OTT260" s="566"/>
      <c r="OTU260" s="565"/>
      <c r="OTV260" s="565"/>
      <c r="OTW260" s="565"/>
      <c r="OTX260" s="565"/>
      <c r="OTY260" s="565"/>
      <c r="OTZ260" s="565"/>
      <c r="OUA260" s="565"/>
      <c r="OUB260" s="565"/>
      <c r="OUC260" s="565"/>
      <c r="OUD260" s="565"/>
      <c r="OUE260" s="565"/>
      <c r="OUF260" s="565"/>
      <c r="OUG260" s="565"/>
      <c r="OUH260" s="565"/>
      <c r="OUI260" s="565"/>
      <c r="OUJ260" s="565"/>
      <c r="OUK260" s="565"/>
      <c r="OUL260" s="565"/>
      <c r="OUM260" s="565"/>
      <c r="OUN260" s="566"/>
      <c r="OUO260" s="565"/>
      <c r="OUP260" s="565"/>
      <c r="OUQ260" s="565"/>
      <c r="OUR260" s="565"/>
      <c r="OUS260" s="565"/>
      <c r="OUT260" s="565"/>
      <c r="OUU260" s="565"/>
      <c r="OUV260" s="565"/>
      <c r="OUW260" s="565"/>
      <c r="OUX260" s="565"/>
      <c r="OUY260" s="565"/>
      <c r="OUZ260" s="565"/>
      <c r="OVA260" s="565"/>
      <c r="OVB260" s="565"/>
      <c r="OVC260" s="565"/>
      <c r="OVD260" s="565"/>
      <c r="OVE260" s="565"/>
      <c r="OVF260" s="565"/>
      <c r="OVG260" s="565"/>
      <c r="OVH260" s="566"/>
      <c r="OVI260" s="565"/>
      <c r="OVJ260" s="565"/>
      <c r="OVK260" s="565"/>
      <c r="OVL260" s="565"/>
      <c r="OVM260" s="565"/>
      <c r="OVN260" s="565"/>
      <c r="OVO260" s="565"/>
      <c r="OVP260" s="565"/>
      <c r="OVQ260" s="565"/>
      <c r="OVR260" s="565"/>
      <c r="OVS260" s="565"/>
      <c r="OVT260" s="565"/>
      <c r="OVU260" s="565"/>
      <c r="OVV260" s="565"/>
      <c r="OVW260" s="565"/>
      <c r="OVX260" s="565"/>
      <c r="OVY260" s="565"/>
      <c r="OVZ260" s="565"/>
      <c r="OWA260" s="565"/>
      <c r="OWB260" s="566"/>
      <c r="OWC260" s="565"/>
      <c r="OWD260" s="565"/>
      <c r="OWE260" s="565"/>
      <c r="OWF260" s="565"/>
      <c r="OWG260" s="565"/>
      <c r="OWH260" s="565"/>
      <c r="OWI260" s="565"/>
      <c r="OWJ260" s="565"/>
      <c r="OWK260" s="565"/>
      <c r="OWL260" s="565"/>
      <c r="OWM260" s="565"/>
      <c r="OWN260" s="565"/>
      <c r="OWO260" s="565"/>
      <c r="OWP260" s="565"/>
      <c r="OWQ260" s="565"/>
      <c r="OWR260" s="565"/>
      <c r="OWS260" s="565"/>
      <c r="OWT260" s="565"/>
      <c r="OWU260" s="565"/>
      <c r="OWV260" s="566"/>
      <c r="OWW260" s="565"/>
      <c r="OWX260" s="565"/>
      <c r="OWY260" s="565"/>
      <c r="OWZ260" s="565"/>
      <c r="OXA260" s="565"/>
      <c r="OXB260" s="565"/>
      <c r="OXC260" s="565"/>
      <c r="OXD260" s="565"/>
      <c r="OXE260" s="565"/>
      <c r="OXF260" s="565"/>
      <c r="OXG260" s="565"/>
      <c r="OXH260" s="565"/>
      <c r="OXI260" s="565"/>
      <c r="OXJ260" s="565"/>
      <c r="OXK260" s="565"/>
      <c r="OXL260" s="565"/>
      <c r="OXM260" s="565"/>
      <c r="OXN260" s="565"/>
      <c r="OXO260" s="565"/>
      <c r="OXP260" s="566"/>
      <c r="OXQ260" s="565"/>
      <c r="OXR260" s="565"/>
      <c r="OXS260" s="565"/>
      <c r="OXT260" s="565"/>
      <c r="OXU260" s="565"/>
      <c r="OXV260" s="565"/>
      <c r="OXW260" s="565"/>
      <c r="OXX260" s="565"/>
      <c r="OXY260" s="565"/>
      <c r="OXZ260" s="565"/>
      <c r="OYA260" s="565"/>
      <c r="OYB260" s="565"/>
      <c r="OYC260" s="565"/>
      <c r="OYD260" s="565"/>
      <c r="OYE260" s="565"/>
      <c r="OYF260" s="565"/>
      <c r="OYG260" s="565"/>
      <c r="OYH260" s="565"/>
      <c r="OYI260" s="565"/>
      <c r="OYJ260" s="566"/>
      <c r="OYK260" s="565"/>
      <c r="OYL260" s="565"/>
      <c r="OYM260" s="565"/>
      <c r="OYN260" s="565"/>
      <c r="OYO260" s="565"/>
      <c r="OYP260" s="565"/>
      <c r="OYQ260" s="565"/>
      <c r="OYR260" s="565"/>
      <c r="OYS260" s="565"/>
      <c r="OYT260" s="565"/>
      <c r="OYU260" s="565"/>
      <c r="OYV260" s="565"/>
      <c r="OYW260" s="565"/>
      <c r="OYX260" s="565"/>
      <c r="OYY260" s="565"/>
      <c r="OYZ260" s="565"/>
      <c r="OZA260" s="565"/>
      <c r="OZB260" s="565"/>
      <c r="OZC260" s="565"/>
      <c r="OZD260" s="566"/>
      <c r="OZE260" s="565"/>
      <c r="OZF260" s="565"/>
      <c r="OZG260" s="565"/>
      <c r="OZH260" s="565"/>
      <c r="OZI260" s="565"/>
      <c r="OZJ260" s="565"/>
      <c r="OZK260" s="565"/>
      <c r="OZL260" s="565"/>
      <c r="OZM260" s="565"/>
      <c r="OZN260" s="565"/>
      <c r="OZO260" s="565"/>
      <c r="OZP260" s="565"/>
      <c r="OZQ260" s="565"/>
      <c r="OZR260" s="565"/>
      <c r="OZS260" s="565"/>
      <c r="OZT260" s="565"/>
      <c r="OZU260" s="565"/>
      <c r="OZV260" s="565"/>
      <c r="OZW260" s="565"/>
      <c r="OZX260" s="566"/>
      <c r="OZY260" s="565"/>
      <c r="OZZ260" s="565"/>
      <c r="PAA260" s="565"/>
      <c r="PAB260" s="565"/>
      <c r="PAC260" s="565"/>
      <c r="PAD260" s="565"/>
      <c r="PAE260" s="565"/>
      <c r="PAF260" s="565"/>
      <c r="PAG260" s="565"/>
      <c r="PAH260" s="565"/>
      <c r="PAI260" s="565"/>
      <c r="PAJ260" s="565"/>
      <c r="PAK260" s="565"/>
      <c r="PAL260" s="565"/>
      <c r="PAM260" s="565"/>
      <c r="PAN260" s="565"/>
      <c r="PAO260" s="565"/>
      <c r="PAP260" s="565"/>
      <c r="PAQ260" s="565"/>
      <c r="PAR260" s="566"/>
      <c r="PAS260" s="565"/>
      <c r="PAT260" s="565"/>
      <c r="PAU260" s="565"/>
      <c r="PAV260" s="565"/>
      <c r="PAW260" s="565"/>
      <c r="PAX260" s="565"/>
      <c r="PAY260" s="565"/>
      <c r="PAZ260" s="565"/>
      <c r="PBA260" s="565"/>
      <c r="PBB260" s="565"/>
      <c r="PBC260" s="565"/>
      <c r="PBD260" s="565"/>
      <c r="PBE260" s="565"/>
      <c r="PBF260" s="565"/>
      <c r="PBG260" s="565"/>
      <c r="PBH260" s="565"/>
      <c r="PBI260" s="565"/>
      <c r="PBJ260" s="565"/>
      <c r="PBK260" s="565"/>
      <c r="PBL260" s="566"/>
      <c r="PBM260" s="565"/>
      <c r="PBN260" s="565"/>
      <c r="PBO260" s="565"/>
      <c r="PBP260" s="565"/>
      <c r="PBQ260" s="565"/>
      <c r="PBR260" s="565"/>
      <c r="PBS260" s="565"/>
      <c r="PBT260" s="565"/>
      <c r="PBU260" s="565"/>
      <c r="PBV260" s="565"/>
      <c r="PBW260" s="565"/>
      <c r="PBX260" s="565"/>
      <c r="PBY260" s="565"/>
      <c r="PBZ260" s="565"/>
      <c r="PCA260" s="565"/>
      <c r="PCB260" s="565"/>
      <c r="PCC260" s="565"/>
      <c r="PCD260" s="565"/>
      <c r="PCE260" s="565"/>
      <c r="PCF260" s="566"/>
      <c r="PCG260" s="565"/>
      <c r="PCH260" s="565"/>
      <c r="PCI260" s="565"/>
      <c r="PCJ260" s="565"/>
      <c r="PCK260" s="565"/>
      <c r="PCL260" s="565"/>
      <c r="PCM260" s="565"/>
      <c r="PCN260" s="565"/>
      <c r="PCO260" s="565"/>
      <c r="PCP260" s="565"/>
      <c r="PCQ260" s="565"/>
      <c r="PCR260" s="565"/>
      <c r="PCS260" s="565"/>
      <c r="PCT260" s="565"/>
      <c r="PCU260" s="565"/>
      <c r="PCV260" s="565"/>
      <c r="PCW260" s="565"/>
      <c r="PCX260" s="565"/>
      <c r="PCY260" s="565"/>
      <c r="PCZ260" s="566"/>
      <c r="PDA260" s="565"/>
      <c r="PDB260" s="565"/>
      <c r="PDC260" s="565"/>
      <c r="PDD260" s="565"/>
      <c r="PDE260" s="565"/>
      <c r="PDF260" s="565"/>
      <c r="PDG260" s="565"/>
      <c r="PDH260" s="565"/>
      <c r="PDI260" s="565"/>
      <c r="PDJ260" s="565"/>
      <c r="PDK260" s="565"/>
      <c r="PDL260" s="565"/>
      <c r="PDM260" s="565"/>
      <c r="PDN260" s="565"/>
      <c r="PDO260" s="565"/>
      <c r="PDP260" s="565"/>
      <c r="PDQ260" s="565"/>
      <c r="PDR260" s="565"/>
      <c r="PDS260" s="565"/>
      <c r="PDT260" s="566"/>
      <c r="PDU260" s="565"/>
      <c r="PDV260" s="565"/>
      <c r="PDW260" s="565"/>
      <c r="PDX260" s="565"/>
      <c r="PDY260" s="565"/>
      <c r="PDZ260" s="565"/>
      <c r="PEA260" s="565"/>
      <c r="PEB260" s="565"/>
      <c r="PEC260" s="565"/>
      <c r="PED260" s="565"/>
      <c r="PEE260" s="565"/>
      <c r="PEF260" s="565"/>
      <c r="PEG260" s="565"/>
      <c r="PEH260" s="565"/>
      <c r="PEI260" s="565"/>
      <c r="PEJ260" s="565"/>
      <c r="PEK260" s="565"/>
      <c r="PEL260" s="565"/>
      <c r="PEM260" s="565"/>
      <c r="PEN260" s="566"/>
      <c r="PEO260" s="565"/>
      <c r="PEP260" s="565"/>
      <c r="PEQ260" s="565"/>
      <c r="PER260" s="565"/>
      <c r="PES260" s="565"/>
      <c r="PET260" s="565"/>
      <c r="PEU260" s="565"/>
      <c r="PEV260" s="565"/>
      <c r="PEW260" s="565"/>
      <c r="PEX260" s="565"/>
      <c r="PEY260" s="565"/>
      <c r="PEZ260" s="565"/>
      <c r="PFA260" s="565"/>
      <c r="PFB260" s="565"/>
      <c r="PFC260" s="565"/>
      <c r="PFD260" s="565"/>
      <c r="PFE260" s="565"/>
      <c r="PFF260" s="565"/>
      <c r="PFG260" s="565"/>
      <c r="PFH260" s="566"/>
      <c r="PFI260" s="565"/>
      <c r="PFJ260" s="565"/>
      <c r="PFK260" s="565"/>
      <c r="PFL260" s="565"/>
      <c r="PFM260" s="565"/>
      <c r="PFN260" s="565"/>
      <c r="PFO260" s="565"/>
      <c r="PFP260" s="565"/>
      <c r="PFQ260" s="565"/>
      <c r="PFR260" s="565"/>
      <c r="PFS260" s="565"/>
      <c r="PFT260" s="565"/>
      <c r="PFU260" s="565"/>
      <c r="PFV260" s="565"/>
      <c r="PFW260" s="565"/>
      <c r="PFX260" s="565"/>
      <c r="PFY260" s="565"/>
      <c r="PFZ260" s="565"/>
      <c r="PGA260" s="565"/>
      <c r="PGB260" s="566"/>
      <c r="PGC260" s="565"/>
      <c r="PGD260" s="565"/>
      <c r="PGE260" s="565"/>
      <c r="PGF260" s="565"/>
      <c r="PGG260" s="565"/>
      <c r="PGH260" s="565"/>
      <c r="PGI260" s="565"/>
      <c r="PGJ260" s="565"/>
      <c r="PGK260" s="565"/>
      <c r="PGL260" s="565"/>
      <c r="PGM260" s="565"/>
      <c r="PGN260" s="565"/>
      <c r="PGO260" s="565"/>
      <c r="PGP260" s="565"/>
      <c r="PGQ260" s="565"/>
      <c r="PGR260" s="565"/>
      <c r="PGS260" s="565"/>
      <c r="PGT260" s="565"/>
      <c r="PGU260" s="565"/>
      <c r="PGV260" s="566"/>
      <c r="PGW260" s="565"/>
      <c r="PGX260" s="565"/>
      <c r="PGY260" s="565"/>
      <c r="PGZ260" s="565"/>
      <c r="PHA260" s="565"/>
      <c r="PHB260" s="565"/>
      <c r="PHC260" s="565"/>
      <c r="PHD260" s="565"/>
      <c r="PHE260" s="565"/>
      <c r="PHF260" s="565"/>
      <c r="PHG260" s="565"/>
      <c r="PHH260" s="565"/>
      <c r="PHI260" s="565"/>
      <c r="PHJ260" s="565"/>
      <c r="PHK260" s="565"/>
      <c r="PHL260" s="565"/>
      <c r="PHM260" s="565"/>
      <c r="PHN260" s="565"/>
      <c r="PHO260" s="565"/>
      <c r="PHP260" s="566"/>
      <c r="PHQ260" s="565"/>
      <c r="PHR260" s="565"/>
      <c r="PHS260" s="565"/>
      <c r="PHT260" s="565"/>
      <c r="PHU260" s="565"/>
      <c r="PHV260" s="565"/>
      <c r="PHW260" s="565"/>
      <c r="PHX260" s="565"/>
      <c r="PHY260" s="565"/>
      <c r="PHZ260" s="565"/>
      <c r="PIA260" s="565"/>
      <c r="PIB260" s="565"/>
      <c r="PIC260" s="565"/>
      <c r="PID260" s="565"/>
      <c r="PIE260" s="565"/>
      <c r="PIF260" s="565"/>
      <c r="PIG260" s="565"/>
      <c r="PIH260" s="565"/>
      <c r="PII260" s="565"/>
      <c r="PIJ260" s="566"/>
      <c r="PIK260" s="565"/>
      <c r="PIL260" s="565"/>
      <c r="PIM260" s="565"/>
      <c r="PIN260" s="565"/>
      <c r="PIO260" s="565"/>
      <c r="PIP260" s="565"/>
      <c r="PIQ260" s="565"/>
      <c r="PIR260" s="565"/>
      <c r="PIS260" s="565"/>
      <c r="PIT260" s="565"/>
      <c r="PIU260" s="565"/>
      <c r="PIV260" s="565"/>
      <c r="PIW260" s="565"/>
      <c r="PIX260" s="565"/>
      <c r="PIY260" s="565"/>
      <c r="PIZ260" s="565"/>
      <c r="PJA260" s="565"/>
      <c r="PJB260" s="565"/>
      <c r="PJC260" s="565"/>
      <c r="PJD260" s="566"/>
      <c r="PJE260" s="565"/>
      <c r="PJF260" s="565"/>
      <c r="PJG260" s="565"/>
      <c r="PJH260" s="565"/>
      <c r="PJI260" s="565"/>
      <c r="PJJ260" s="565"/>
      <c r="PJK260" s="565"/>
      <c r="PJL260" s="565"/>
      <c r="PJM260" s="565"/>
      <c r="PJN260" s="565"/>
      <c r="PJO260" s="565"/>
      <c r="PJP260" s="565"/>
      <c r="PJQ260" s="565"/>
      <c r="PJR260" s="565"/>
      <c r="PJS260" s="565"/>
      <c r="PJT260" s="565"/>
      <c r="PJU260" s="565"/>
      <c r="PJV260" s="565"/>
      <c r="PJW260" s="565"/>
      <c r="PJX260" s="566"/>
      <c r="PJY260" s="565"/>
      <c r="PJZ260" s="565"/>
      <c r="PKA260" s="565"/>
      <c r="PKB260" s="565"/>
      <c r="PKC260" s="565"/>
      <c r="PKD260" s="565"/>
      <c r="PKE260" s="565"/>
      <c r="PKF260" s="565"/>
      <c r="PKG260" s="565"/>
      <c r="PKH260" s="565"/>
      <c r="PKI260" s="565"/>
      <c r="PKJ260" s="565"/>
      <c r="PKK260" s="565"/>
      <c r="PKL260" s="565"/>
      <c r="PKM260" s="565"/>
      <c r="PKN260" s="565"/>
      <c r="PKO260" s="565"/>
      <c r="PKP260" s="565"/>
      <c r="PKQ260" s="565"/>
      <c r="PKR260" s="566"/>
      <c r="PKS260" s="565"/>
      <c r="PKT260" s="565"/>
      <c r="PKU260" s="565"/>
      <c r="PKV260" s="565"/>
      <c r="PKW260" s="565"/>
      <c r="PKX260" s="565"/>
      <c r="PKY260" s="565"/>
      <c r="PKZ260" s="565"/>
      <c r="PLA260" s="565"/>
      <c r="PLB260" s="565"/>
      <c r="PLC260" s="565"/>
      <c r="PLD260" s="565"/>
      <c r="PLE260" s="565"/>
      <c r="PLF260" s="565"/>
      <c r="PLG260" s="565"/>
      <c r="PLH260" s="565"/>
      <c r="PLI260" s="565"/>
      <c r="PLJ260" s="565"/>
      <c r="PLK260" s="565"/>
      <c r="PLL260" s="566"/>
      <c r="PLM260" s="565"/>
      <c r="PLN260" s="565"/>
      <c r="PLO260" s="565"/>
      <c r="PLP260" s="565"/>
      <c r="PLQ260" s="565"/>
      <c r="PLR260" s="565"/>
      <c r="PLS260" s="565"/>
      <c r="PLT260" s="565"/>
      <c r="PLU260" s="565"/>
      <c r="PLV260" s="565"/>
      <c r="PLW260" s="565"/>
      <c r="PLX260" s="565"/>
      <c r="PLY260" s="565"/>
      <c r="PLZ260" s="565"/>
      <c r="PMA260" s="565"/>
      <c r="PMB260" s="565"/>
      <c r="PMC260" s="565"/>
      <c r="PMD260" s="565"/>
      <c r="PME260" s="565"/>
      <c r="PMF260" s="566"/>
      <c r="PMG260" s="565"/>
      <c r="PMH260" s="565"/>
      <c r="PMI260" s="565"/>
      <c r="PMJ260" s="565"/>
      <c r="PMK260" s="565"/>
      <c r="PML260" s="565"/>
      <c r="PMM260" s="565"/>
      <c r="PMN260" s="565"/>
      <c r="PMO260" s="565"/>
      <c r="PMP260" s="565"/>
      <c r="PMQ260" s="565"/>
      <c r="PMR260" s="565"/>
      <c r="PMS260" s="565"/>
      <c r="PMT260" s="565"/>
      <c r="PMU260" s="565"/>
      <c r="PMV260" s="565"/>
      <c r="PMW260" s="565"/>
      <c r="PMX260" s="565"/>
      <c r="PMY260" s="565"/>
      <c r="PMZ260" s="566"/>
      <c r="PNA260" s="565"/>
      <c r="PNB260" s="565"/>
      <c r="PNC260" s="565"/>
      <c r="PND260" s="565"/>
      <c r="PNE260" s="565"/>
      <c r="PNF260" s="565"/>
      <c r="PNG260" s="565"/>
      <c r="PNH260" s="565"/>
      <c r="PNI260" s="565"/>
      <c r="PNJ260" s="565"/>
      <c r="PNK260" s="565"/>
      <c r="PNL260" s="565"/>
      <c r="PNM260" s="565"/>
      <c r="PNN260" s="565"/>
      <c r="PNO260" s="565"/>
      <c r="PNP260" s="565"/>
      <c r="PNQ260" s="565"/>
      <c r="PNR260" s="565"/>
      <c r="PNS260" s="565"/>
      <c r="PNT260" s="566"/>
      <c r="PNU260" s="565"/>
      <c r="PNV260" s="565"/>
      <c r="PNW260" s="565"/>
      <c r="PNX260" s="565"/>
      <c r="PNY260" s="565"/>
      <c r="PNZ260" s="565"/>
      <c r="POA260" s="565"/>
      <c r="POB260" s="565"/>
      <c r="POC260" s="565"/>
      <c r="POD260" s="565"/>
      <c r="POE260" s="565"/>
      <c r="POF260" s="565"/>
      <c r="POG260" s="565"/>
      <c r="POH260" s="565"/>
      <c r="POI260" s="565"/>
      <c r="POJ260" s="565"/>
      <c r="POK260" s="565"/>
      <c r="POL260" s="565"/>
      <c r="POM260" s="565"/>
      <c r="PON260" s="566"/>
      <c r="POO260" s="565"/>
      <c r="POP260" s="565"/>
      <c r="POQ260" s="565"/>
      <c r="POR260" s="565"/>
      <c r="POS260" s="565"/>
      <c r="POT260" s="565"/>
      <c r="POU260" s="565"/>
      <c r="POV260" s="565"/>
      <c r="POW260" s="565"/>
      <c r="POX260" s="565"/>
      <c r="POY260" s="565"/>
      <c r="POZ260" s="565"/>
      <c r="PPA260" s="565"/>
      <c r="PPB260" s="565"/>
      <c r="PPC260" s="565"/>
      <c r="PPD260" s="565"/>
      <c r="PPE260" s="565"/>
      <c r="PPF260" s="565"/>
      <c r="PPG260" s="565"/>
      <c r="PPH260" s="566"/>
      <c r="PPI260" s="565"/>
      <c r="PPJ260" s="565"/>
      <c r="PPK260" s="565"/>
      <c r="PPL260" s="565"/>
      <c r="PPM260" s="565"/>
      <c r="PPN260" s="565"/>
      <c r="PPO260" s="565"/>
      <c r="PPP260" s="565"/>
      <c r="PPQ260" s="565"/>
      <c r="PPR260" s="565"/>
      <c r="PPS260" s="565"/>
      <c r="PPT260" s="565"/>
      <c r="PPU260" s="565"/>
      <c r="PPV260" s="565"/>
      <c r="PPW260" s="565"/>
      <c r="PPX260" s="565"/>
      <c r="PPY260" s="565"/>
      <c r="PPZ260" s="565"/>
      <c r="PQA260" s="565"/>
      <c r="PQB260" s="566"/>
      <c r="PQC260" s="565"/>
      <c r="PQD260" s="565"/>
      <c r="PQE260" s="565"/>
      <c r="PQF260" s="565"/>
      <c r="PQG260" s="565"/>
      <c r="PQH260" s="565"/>
      <c r="PQI260" s="565"/>
      <c r="PQJ260" s="565"/>
      <c r="PQK260" s="565"/>
      <c r="PQL260" s="565"/>
      <c r="PQM260" s="565"/>
      <c r="PQN260" s="565"/>
      <c r="PQO260" s="565"/>
      <c r="PQP260" s="565"/>
      <c r="PQQ260" s="565"/>
      <c r="PQR260" s="565"/>
      <c r="PQS260" s="565"/>
      <c r="PQT260" s="565"/>
      <c r="PQU260" s="565"/>
      <c r="PQV260" s="566"/>
      <c r="PQW260" s="565"/>
      <c r="PQX260" s="565"/>
      <c r="PQY260" s="565"/>
      <c r="PQZ260" s="565"/>
      <c r="PRA260" s="565"/>
      <c r="PRB260" s="565"/>
      <c r="PRC260" s="565"/>
      <c r="PRD260" s="565"/>
      <c r="PRE260" s="565"/>
      <c r="PRF260" s="565"/>
      <c r="PRG260" s="565"/>
      <c r="PRH260" s="565"/>
      <c r="PRI260" s="565"/>
      <c r="PRJ260" s="565"/>
      <c r="PRK260" s="565"/>
      <c r="PRL260" s="565"/>
      <c r="PRM260" s="565"/>
      <c r="PRN260" s="565"/>
      <c r="PRO260" s="565"/>
      <c r="PRP260" s="566"/>
      <c r="PRQ260" s="565"/>
      <c r="PRR260" s="565"/>
      <c r="PRS260" s="565"/>
      <c r="PRT260" s="565"/>
      <c r="PRU260" s="565"/>
      <c r="PRV260" s="565"/>
      <c r="PRW260" s="565"/>
      <c r="PRX260" s="565"/>
      <c r="PRY260" s="565"/>
      <c r="PRZ260" s="565"/>
      <c r="PSA260" s="565"/>
      <c r="PSB260" s="565"/>
      <c r="PSC260" s="565"/>
      <c r="PSD260" s="565"/>
      <c r="PSE260" s="565"/>
      <c r="PSF260" s="565"/>
      <c r="PSG260" s="565"/>
      <c r="PSH260" s="565"/>
      <c r="PSI260" s="565"/>
      <c r="PSJ260" s="566"/>
      <c r="PSK260" s="565"/>
      <c r="PSL260" s="565"/>
      <c r="PSM260" s="565"/>
      <c r="PSN260" s="565"/>
      <c r="PSO260" s="565"/>
      <c r="PSP260" s="565"/>
      <c r="PSQ260" s="565"/>
      <c r="PSR260" s="565"/>
      <c r="PSS260" s="565"/>
      <c r="PST260" s="565"/>
      <c r="PSU260" s="565"/>
      <c r="PSV260" s="565"/>
      <c r="PSW260" s="565"/>
      <c r="PSX260" s="565"/>
      <c r="PSY260" s="565"/>
      <c r="PSZ260" s="565"/>
      <c r="PTA260" s="565"/>
      <c r="PTB260" s="565"/>
      <c r="PTC260" s="565"/>
      <c r="PTD260" s="566"/>
      <c r="PTE260" s="565"/>
      <c r="PTF260" s="565"/>
      <c r="PTG260" s="565"/>
      <c r="PTH260" s="565"/>
      <c r="PTI260" s="565"/>
      <c r="PTJ260" s="565"/>
      <c r="PTK260" s="565"/>
      <c r="PTL260" s="565"/>
      <c r="PTM260" s="565"/>
      <c r="PTN260" s="565"/>
      <c r="PTO260" s="565"/>
      <c r="PTP260" s="565"/>
      <c r="PTQ260" s="565"/>
      <c r="PTR260" s="565"/>
      <c r="PTS260" s="565"/>
      <c r="PTT260" s="565"/>
      <c r="PTU260" s="565"/>
      <c r="PTV260" s="565"/>
      <c r="PTW260" s="565"/>
      <c r="PTX260" s="566"/>
      <c r="PTY260" s="565"/>
      <c r="PTZ260" s="565"/>
      <c r="PUA260" s="565"/>
      <c r="PUB260" s="565"/>
      <c r="PUC260" s="565"/>
      <c r="PUD260" s="565"/>
      <c r="PUE260" s="565"/>
      <c r="PUF260" s="565"/>
      <c r="PUG260" s="565"/>
      <c r="PUH260" s="565"/>
      <c r="PUI260" s="565"/>
      <c r="PUJ260" s="565"/>
      <c r="PUK260" s="565"/>
      <c r="PUL260" s="565"/>
      <c r="PUM260" s="565"/>
      <c r="PUN260" s="565"/>
      <c r="PUO260" s="565"/>
      <c r="PUP260" s="565"/>
      <c r="PUQ260" s="565"/>
      <c r="PUR260" s="566"/>
      <c r="PUS260" s="565"/>
      <c r="PUT260" s="565"/>
      <c r="PUU260" s="565"/>
      <c r="PUV260" s="565"/>
      <c r="PUW260" s="565"/>
      <c r="PUX260" s="565"/>
      <c r="PUY260" s="565"/>
      <c r="PUZ260" s="565"/>
      <c r="PVA260" s="565"/>
      <c r="PVB260" s="565"/>
      <c r="PVC260" s="565"/>
      <c r="PVD260" s="565"/>
      <c r="PVE260" s="565"/>
      <c r="PVF260" s="565"/>
      <c r="PVG260" s="565"/>
      <c r="PVH260" s="565"/>
      <c r="PVI260" s="565"/>
      <c r="PVJ260" s="565"/>
      <c r="PVK260" s="565"/>
      <c r="PVL260" s="566"/>
      <c r="PVM260" s="565"/>
      <c r="PVN260" s="565"/>
      <c r="PVO260" s="565"/>
      <c r="PVP260" s="565"/>
      <c r="PVQ260" s="565"/>
      <c r="PVR260" s="565"/>
      <c r="PVS260" s="565"/>
      <c r="PVT260" s="565"/>
      <c r="PVU260" s="565"/>
      <c r="PVV260" s="565"/>
      <c r="PVW260" s="565"/>
      <c r="PVX260" s="565"/>
      <c r="PVY260" s="565"/>
      <c r="PVZ260" s="565"/>
      <c r="PWA260" s="565"/>
      <c r="PWB260" s="565"/>
      <c r="PWC260" s="565"/>
      <c r="PWD260" s="565"/>
      <c r="PWE260" s="565"/>
      <c r="PWF260" s="566"/>
      <c r="PWG260" s="565"/>
      <c r="PWH260" s="565"/>
      <c r="PWI260" s="565"/>
      <c r="PWJ260" s="565"/>
      <c r="PWK260" s="565"/>
      <c r="PWL260" s="565"/>
      <c r="PWM260" s="565"/>
      <c r="PWN260" s="565"/>
      <c r="PWO260" s="565"/>
      <c r="PWP260" s="565"/>
      <c r="PWQ260" s="565"/>
      <c r="PWR260" s="565"/>
      <c r="PWS260" s="565"/>
      <c r="PWT260" s="565"/>
      <c r="PWU260" s="565"/>
      <c r="PWV260" s="565"/>
      <c r="PWW260" s="565"/>
      <c r="PWX260" s="565"/>
      <c r="PWY260" s="565"/>
      <c r="PWZ260" s="566"/>
      <c r="PXA260" s="565"/>
      <c r="PXB260" s="565"/>
      <c r="PXC260" s="565"/>
      <c r="PXD260" s="565"/>
      <c r="PXE260" s="565"/>
      <c r="PXF260" s="565"/>
      <c r="PXG260" s="565"/>
      <c r="PXH260" s="565"/>
      <c r="PXI260" s="565"/>
      <c r="PXJ260" s="565"/>
      <c r="PXK260" s="565"/>
      <c r="PXL260" s="565"/>
      <c r="PXM260" s="565"/>
      <c r="PXN260" s="565"/>
      <c r="PXO260" s="565"/>
      <c r="PXP260" s="565"/>
      <c r="PXQ260" s="565"/>
      <c r="PXR260" s="565"/>
      <c r="PXS260" s="565"/>
      <c r="PXT260" s="566"/>
      <c r="PXU260" s="565"/>
      <c r="PXV260" s="565"/>
      <c r="PXW260" s="565"/>
      <c r="PXX260" s="565"/>
      <c r="PXY260" s="565"/>
      <c r="PXZ260" s="565"/>
      <c r="PYA260" s="565"/>
      <c r="PYB260" s="565"/>
      <c r="PYC260" s="565"/>
      <c r="PYD260" s="565"/>
      <c r="PYE260" s="565"/>
      <c r="PYF260" s="565"/>
      <c r="PYG260" s="565"/>
      <c r="PYH260" s="565"/>
      <c r="PYI260" s="565"/>
      <c r="PYJ260" s="565"/>
      <c r="PYK260" s="565"/>
      <c r="PYL260" s="565"/>
      <c r="PYM260" s="565"/>
      <c r="PYN260" s="566"/>
      <c r="PYO260" s="565"/>
      <c r="PYP260" s="565"/>
      <c r="PYQ260" s="565"/>
      <c r="PYR260" s="565"/>
      <c r="PYS260" s="565"/>
      <c r="PYT260" s="565"/>
      <c r="PYU260" s="565"/>
      <c r="PYV260" s="565"/>
      <c r="PYW260" s="565"/>
      <c r="PYX260" s="565"/>
      <c r="PYY260" s="565"/>
      <c r="PYZ260" s="565"/>
      <c r="PZA260" s="565"/>
      <c r="PZB260" s="565"/>
      <c r="PZC260" s="565"/>
      <c r="PZD260" s="565"/>
      <c r="PZE260" s="565"/>
      <c r="PZF260" s="565"/>
      <c r="PZG260" s="565"/>
      <c r="PZH260" s="566"/>
      <c r="PZI260" s="565"/>
      <c r="PZJ260" s="565"/>
      <c r="PZK260" s="565"/>
      <c r="PZL260" s="565"/>
      <c r="PZM260" s="565"/>
      <c r="PZN260" s="565"/>
      <c r="PZO260" s="565"/>
      <c r="PZP260" s="565"/>
      <c r="PZQ260" s="565"/>
      <c r="PZR260" s="565"/>
      <c r="PZS260" s="565"/>
      <c r="PZT260" s="565"/>
      <c r="PZU260" s="565"/>
      <c r="PZV260" s="565"/>
      <c r="PZW260" s="565"/>
      <c r="PZX260" s="565"/>
      <c r="PZY260" s="565"/>
      <c r="PZZ260" s="565"/>
      <c r="QAA260" s="565"/>
      <c r="QAB260" s="566"/>
      <c r="QAC260" s="565"/>
      <c r="QAD260" s="565"/>
      <c r="QAE260" s="565"/>
      <c r="QAF260" s="565"/>
      <c r="QAG260" s="565"/>
      <c r="QAH260" s="565"/>
      <c r="QAI260" s="565"/>
      <c r="QAJ260" s="565"/>
      <c r="QAK260" s="565"/>
      <c r="QAL260" s="565"/>
      <c r="QAM260" s="565"/>
      <c r="QAN260" s="565"/>
      <c r="QAO260" s="565"/>
      <c r="QAP260" s="565"/>
      <c r="QAQ260" s="565"/>
      <c r="QAR260" s="565"/>
      <c r="QAS260" s="565"/>
      <c r="QAT260" s="565"/>
      <c r="QAU260" s="565"/>
      <c r="QAV260" s="566"/>
      <c r="QAW260" s="565"/>
      <c r="QAX260" s="565"/>
      <c r="QAY260" s="565"/>
      <c r="QAZ260" s="565"/>
      <c r="QBA260" s="565"/>
      <c r="QBB260" s="565"/>
      <c r="QBC260" s="565"/>
      <c r="QBD260" s="565"/>
      <c r="QBE260" s="565"/>
      <c r="QBF260" s="565"/>
      <c r="QBG260" s="565"/>
      <c r="QBH260" s="565"/>
      <c r="QBI260" s="565"/>
      <c r="QBJ260" s="565"/>
      <c r="QBK260" s="565"/>
      <c r="QBL260" s="565"/>
      <c r="QBM260" s="565"/>
      <c r="QBN260" s="565"/>
      <c r="QBO260" s="565"/>
      <c r="QBP260" s="566"/>
      <c r="QBQ260" s="565"/>
      <c r="QBR260" s="565"/>
      <c r="QBS260" s="565"/>
      <c r="QBT260" s="565"/>
      <c r="QBU260" s="565"/>
      <c r="QBV260" s="565"/>
      <c r="QBW260" s="565"/>
      <c r="QBX260" s="565"/>
      <c r="QBY260" s="565"/>
      <c r="QBZ260" s="565"/>
      <c r="QCA260" s="565"/>
      <c r="QCB260" s="565"/>
      <c r="QCC260" s="565"/>
      <c r="QCD260" s="565"/>
      <c r="QCE260" s="565"/>
      <c r="QCF260" s="565"/>
      <c r="QCG260" s="565"/>
      <c r="QCH260" s="565"/>
      <c r="QCI260" s="565"/>
      <c r="QCJ260" s="566"/>
      <c r="QCK260" s="565"/>
      <c r="QCL260" s="565"/>
      <c r="QCM260" s="565"/>
      <c r="QCN260" s="565"/>
      <c r="QCO260" s="565"/>
      <c r="QCP260" s="565"/>
      <c r="QCQ260" s="565"/>
      <c r="QCR260" s="565"/>
      <c r="QCS260" s="565"/>
      <c r="QCT260" s="565"/>
      <c r="QCU260" s="565"/>
      <c r="QCV260" s="565"/>
      <c r="QCW260" s="565"/>
      <c r="QCX260" s="565"/>
      <c r="QCY260" s="565"/>
      <c r="QCZ260" s="565"/>
      <c r="QDA260" s="565"/>
      <c r="QDB260" s="565"/>
      <c r="QDC260" s="565"/>
      <c r="QDD260" s="566"/>
      <c r="QDE260" s="565"/>
      <c r="QDF260" s="565"/>
      <c r="QDG260" s="565"/>
      <c r="QDH260" s="565"/>
      <c r="QDI260" s="565"/>
      <c r="QDJ260" s="565"/>
      <c r="QDK260" s="565"/>
      <c r="QDL260" s="565"/>
      <c r="QDM260" s="565"/>
      <c r="QDN260" s="565"/>
      <c r="QDO260" s="565"/>
      <c r="QDP260" s="565"/>
      <c r="QDQ260" s="565"/>
      <c r="QDR260" s="565"/>
      <c r="QDS260" s="565"/>
      <c r="QDT260" s="565"/>
      <c r="QDU260" s="565"/>
      <c r="QDV260" s="565"/>
      <c r="QDW260" s="565"/>
      <c r="QDX260" s="566"/>
      <c r="QDY260" s="565"/>
      <c r="QDZ260" s="565"/>
      <c r="QEA260" s="565"/>
      <c r="QEB260" s="565"/>
      <c r="QEC260" s="565"/>
      <c r="QED260" s="565"/>
      <c r="QEE260" s="565"/>
      <c r="QEF260" s="565"/>
      <c r="QEG260" s="565"/>
      <c r="QEH260" s="565"/>
      <c r="QEI260" s="565"/>
      <c r="QEJ260" s="565"/>
      <c r="QEK260" s="565"/>
      <c r="QEL260" s="565"/>
      <c r="QEM260" s="565"/>
      <c r="QEN260" s="565"/>
      <c r="QEO260" s="565"/>
      <c r="QEP260" s="565"/>
      <c r="QEQ260" s="565"/>
      <c r="QER260" s="566"/>
      <c r="QES260" s="565"/>
      <c r="QET260" s="565"/>
      <c r="QEU260" s="565"/>
      <c r="QEV260" s="565"/>
      <c r="QEW260" s="565"/>
      <c r="QEX260" s="565"/>
      <c r="QEY260" s="565"/>
      <c r="QEZ260" s="565"/>
      <c r="QFA260" s="565"/>
      <c r="QFB260" s="565"/>
      <c r="QFC260" s="565"/>
      <c r="QFD260" s="565"/>
      <c r="QFE260" s="565"/>
      <c r="QFF260" s="565"/>
      <c r="QFG260" s="565"/>
      <c r="QFH260" s="565"/>
      <c r="QFI260" s="565"/>
      <c r="QFJ260" s="565"/>
      <c r="QFK260" s="565"/>
      <c r="QFL260" s="566"/>
      <c r="QFM260" s="565"/>
      <c r="QFN260" s="565"/>
      <c r="QFO260" s="565"/>
      <c r="QFP260" s="565"/>
      <c r="QFQ260" s="565"/>
      <c r="QFR260" s="565"/>
      <c r="QFS260" s="565"/>
      <c r="QFT260" s="565"/>
      <c r="QFU260" s="565"/>
      <c r="QFV260" s="565"/>
      <c r="QFW260" s="565"/>
      <c r="QFX260" s="565"/>
      <c r="QFY260" s="565"/>
      <c r="QFZ260" s="565"/>
      <c r="QGA260" s="565"/>
      <c r="QGB260" s="565"/>
      <c r="QGC260" s="565"/>
      <c r="QGD260" s="565"/>
      <c r="QGE260" s="565"/>
      <c r="QGF260" s="566"/>
      <c r="QGG260" s="565"/>
      <c r="QGH260" s="565"/>
      <c r="QGI260" s="565"/>
      <c r="QGJ260" s="565"/>
      <c r="QGK260" s="565"/>
      <c r="QGL260" s="565"/>
      <c r="QGM260" s="565"/>
      <c r="QGN260" s="565"/>
      <c r="QGO260" s="565"/>
      <c r="QGP260" s="565"/>
      <c r="QGQ260" s="565"/>
      <c r="QGR260" s="565"/>
      <c r="QGS260" s="565"/>
      <c r="QGT260" s="565"/>
      <c r="QGU260" s="565"/>
      <c r="QGV260" s="565"/>
      <c r="QGW260" s="565"/>
      <c r="QGX260" s="565"/>
      <c r="QGY260" s="565"/>
      <c r="QGZ260" s="566"/>
      <c r="QHA260" s="565"/>
      <c r="QHB260" s="565"/>
      <c r="QHC260" s="565"/>
      <c r="QHD260" s="565"/>
      <c r="QHE260" s="565"/>
      <c r="QHF260" s="565"/>
      <c r="QHG260" s="565"/>
      <c r="QHH260" s="565"/>
      <c r="QHI260" s="565"/>
      <c r="QHJ260" s="565"/>
      <c r="QHK260" s="565"/>
      <c r="QHL260" s="565"/>
      <c r="QHM260" s="565"/>
      <c r="QHN260" s="565"/>
      <c r="QHO260" s="565"/>
      <c r="QHP260" s="565"/>
      <c r="QHQ260" s="565"/>
      <c r="QHR260" s="565"/>
      <c r="QHS260" s="565"/>
      <c r="QHT260" s="566"/>
      <c r="QHU260" s="565"/>
      <c r="QHV260" s="565"/>
      <c r="QHW260" s="565"/>
      <c r="QHX260" s="565"/>
      <c r="QHY260" s="565"/>
      <c r="QHZ260" s="565"/>
      <c r="QIA260" s="565"/>
      <c r="QIB260" s="565"/>
      <c r="QIC260" s="565"/>
      <c r="QID260" s="565"/>
      <c r="QIE260" s="565"/>
      <c r="QIF260" s="565"/>
      <c r="QIG260" s="565"/>
      <c r="QIH260" s="565"/>
      <c r="QII260" s="565"/>
      <c r="QIJ260" s="565"/>
      <c r="QIK260" s="565"/>
      <c r="QIL260" s="565"/>
      <c r="QIM260" s="565"/>
      <c r="QIN260" s="566"/>
      <c r="QIO260" s="565"/>
      <c r="QIP260" s="565"/>
      <c r="QIQ260" s="565"/>
      <c r="QIR260" s="565"/>
      <c r="QIS260" s="565"/>
      <c r="QIT260" s="565"/>
      <c r="QIU260" s="565"/>
      <c r="QIV260" s="565"/>
      <c r="QIW260" s="565"/>
      <c r="QIX260" s="565"/>
      <c r="QIY260" s="565"/>
      <c r="QIZ260" s="565"/>
      <c r="QJA260" s="565"/>
      <c r="QJB260" s="565"/>
      <c r="QJC260" s="565"/>
      <c r="QJD260" s="565"/>
      <c r="QJE260" s="565"/>
      <c r="QJF260" s="565"/>
      <c r="QJG260" s="565"/>
      <c r="QJH260" s="566"/>
      <c r="QJI260" s="565"/>
      <c r="QJJ260" s="565"/>
      <c r="QJK260" s="565"/>
      <c r="QJL260" s="565"/>
      <c r="QJM260" s="565"/>
      <c r="QJN260" s="565"/>
      <c r="QJO260" s="565"/>
      <c r="QJP260" s="565"/>
      <c r="QJQ260" s="565"/>
      <c r="QJR260" s="565"/>
      <c r="QJS260" s="565"/>
      <c r="QJT260" s="565"/>
      <c r="QJU260" s="565"/>
      <c r="QJV260" s="565"/>
      <c r="QJW260" s="565"/>
      <c r="QJX260" s="565"/>
      <c r="QJY260" s="565"/>
      <c r="QJZ260" s="565"/>
      <c r="QKA260" s="565"/>
      <c r="QKB260" s="566"/>
      <c r="QKC260" s="565"/>
      <c r="QKD260" s="565"/>
      <c r="QKE260" s="565"/>
      <c r="QKF260" s="565"/>
      <c r="QKG260" s="565"/>
      <c r="QKH260" s="565"/>
      <c r="QKI260" s="565"/>
      <c r="QKJ260" s="565"/>
      <c r="QKK260" s="565"/>
      <c r="QKL260" s="565"/>
      <c r="QKM260" s="565"/>
      <c r="QKN260" s="565"/>
      <c r="QKO260" s="565"/>
      <c r="QKP260" s="565"/>
      <c r="QKQ260" s="565"/>
      <c r="QKR260" s="565"/>
      <c r="QKS260" s="565"/>
      <c r="QKT260" s="565"/>
      <c r="QKU260" s="565"/>
      <c r="QKV260" s="566"/>
      <c r="QKW260" s="565"/>
      <c r="QKX260" s="565"/>
      <c r="QKY260" s="565"/>
      <c r="QKZ260" s="565"/>
      <c r="QLA260" s="565"/>
      <c r="QLB260" s="565"/>
      <c r="QLC260" s="565"/>
      <c r="QLD260" s="565"/>
      <c r="QLE260" s="565"/>
      <c r="QLF260" s="565"/>
      <c r="QLG260" s="565"/>
      <c r="QLH260" s="565"/>
      <c r="QLI260" s="565"/>
      <c r="QLJ260" s="565"/>
      <c r="QLK260" s="565"/>
      <c r="QLL260" s="565"/>
      <c r="QLM260" s="565"/>
      <c r="QLN260" s="565"/>
      <c r="QLO260" s="565"/>
      <c r="QLP260" s="566"/>
      <c r="QLQ260" s="565"/>
      <c r="QLR260" s="565"/>
      <c r="QLS260" s="565"/>
      <c r="QLT260" s="565"/>
      <c r="QLU260" s="565"/>
      <c r="QLV260" s="565"/>
      <c r="QLW260" s="565"/>
      <c r="QLX260" s="565"/>
      <c r="QLY260" s="565"/>
      <c r="QLZ260" s="565"/>
      <c r="QMA260" s="565"/>
      <c r="QMB260" s="565"/>
      <c r="QMC260" s="565"/>
      <c r="QMD260" s="565"/>
      <c r="QME260" s="565"/>
      <c r="QMF260" s="565"/>
      <c r="QMG260" s="565"/>
      <c r="QMH260" s="565"/>
      <c r="QMI260" s="565"/>
      <c r="QMJ260" s="566"/>
      <c r="QMK260" s="565"/>
      <c r="QML260" s="565"/>
      <c r="QMM260" s="565"/>
      <c r="QMN260" s="565"/>
      <c r="QMO260" s="565"/>
      <c r="QMP260" s="565"/>
      <c r="QMQ260" s="565"/>
      <c r="QMR260" s="565"/>
      <c r="QMS260" s="565"/>
      <c r="QMT260" s="565"/>
      <c r="QMU260" s="565"/>
      <c r="QMV260" s="565"/>
      <c r="QMW260" s="565"/>
      <c r="QMX260" s="565"/>
      <c r="QMY260" s="565"/>
      <c r="QMZ260" s="565"/>
      <c r="QNA260" s="565"/>
      <c r="QNB260" s="565"/>
      <c r="QNC260" s="565"/>
      <c r="QND260" s="566"/>
      <c r="QNE260" s="565"/>
      <c r="QNF260" s="565"/>
      <c r="QNG260" s="565"/>
      <c r="QNH260" s="565"/>
      <c r="QNI260" s="565"/>
      <c r="QNJ260" s="565"/>
      <c r="QNK260" s="565"/>
      <c r="QNL260" s="565"/>
      <c r="QNM260" s="565"/>
      <c r="QNN260" s="565"/>
      <c r="QNO260" s="565"/>
      <c r="QNP260" s="565"/>
      <c r="QNQ260" s="565"/>
      <c r="QNR260" s="565"/>
      <c r="QNS260" s="565"/>
      <c r="QNT260" s="565"/>
      <c r="QNU260" s="565"/>
      <c r="QNV260" s="565"/>
      <c r="QNW260" s="565"/>
      <c r="QNX260" s="566"/>
      <c r="QNY260" s="565"/>
      <c r="QNZ260" s="565"/>
      <c r="QOA260" s="565"/>
      <c r="QOB260" s="565"/>
      <c r="QOC260" s="565"/>
      <c r="QOD260" s="565"/>
      <c r="QOE260" s="565"/>
      <c r="QOF260" s="565"/>
      <c r="QOG260" s="565"/>
      <c r="QOH260" s="565"/>
      <c r="QOI260" s="565"/>
      <c r="QOJ260" s="565"/>
      <c r="QOK260" s="565"/>
      <c r="QOL260" s="565"/>
      <c r="QOM260" s="565"/>
      <c r="QON260" s="565"/>
      <c r="QOO260" s="565"/>
      <c r="QOP260" s="565"/>
      <c r="QOQ260" s="565"/>
      <c r="QOR260" s="566"/>
      <c r="QOS260" s="565"/>
      <c r="QOT260" s="565"/>
      <c r="QOU260" s="565"/>
      <c r="QOV260" s="565"/>
      <c r="QOW260" s="565"/>
      <c r="QOX260" s="565"/>
      <c r="QOY260" s="565"/>
      <c r="QOZ260" s="565"/>
      <c r="QPA260" s="565"/>
      <c r="QPB260" s="565"/>
      <c r="QPC260" s="565"/>
      <c r="QPD260" s="565"/>
      <c r="QPE260" s="565"/>
      <c r="QPF260" s="565"/>
      <c r="QPG260" s="565"/>
      <c r="QPH260" s="565"/>
      <c r="QPI260" s="565"/>
      <c r="QPJ260" s="565"/>
      <c r="QPK260" s="565"/>
      <c r="QPL260" s="566"/>
      <c r="QPM260" s="565"/>
      <c r="QPN260" s="565"/>
      <c r="QPO260" s="565"/>
      <c r="QPP260" s="565"/>
      <c r="QPQ260" s="565"/>
      <c r="QPR260" s="565"/>
      <c r="QPS260" s="565"/>
      <c r="QPT260" s="565"/>
      <c r="QPU260" s="565"/>
      <c r="QPV260" s="565"/>
      <c r="QPW260" s="565"/>
      <c r="QPX260" s="565"/>
      <c r="QPY260" s="565"/>
      <c r="QPZ260" s="565"/>
      <c r="QQA260" s="565"/>
      <c r="QQB260" s="565"/>
      <c r="QQC260" s="565"/>
      <c r="QQD260" s="565"/>
      <c r="QQE260" s="565"/>
      <c r="QQF260" s="566"/>
      <c r="QQG260" s="565"/>
      <c r="QQH260" s="565"/>
      <c r="QQI260" s="565"/>
      <c r="QQJ260" s="565"/>
      <c r="QQK260" s="565"/>
      <c r="QQL260" s="565"/>
      <c r="QQM260" s="565"/>
      <c r="QQN260" s="565"/>
      <c r="QQO260" s="565"/>
      <c r="QQP260" s="565"/>
      <c r="QQQ260" s="565"/>
      <c r="QQR260" s="565"/>
      <c r="QQS260" s="565"/>
      <c r="QQT260" s="565"/>
      <c r="QQU260" s="565"/>
      <c r="QQV260" s="565"/>
      <c r="QQW260" s="565"/>
      <c r="QQX260" s="565"/>
      <c r="QQY260" s="565"/>
      <c r="QQZ260" s="566"/>
      <c r="QRA260" s="565"/>
      <c r="QRB260" s="565"/>
      <c r="QRC260" s="565"/>
      <c r="QRD260" s="565"/>
      <c r="QRE260" s="565"/>
      <c r="QRF260" s="565"/>
      <c r="QRG260" s="565"/>
      <c r="QRH260" s="565"/>
      <c r="QRI260" s="565"/>
      <c r="QRJ260" s="565"/>
      <c r="QRK260" s="565"/>
      <c r="QRL260" s="565"/>
      <c r="QRM260" s="565"/>
      <c r="QRN260" s="565"/>
      <c r="QRO260" s="565"/>
      <c r="QRP260" s="565"/>
      <c r="QRQ260" s="565"/>
      <c r="QRR260" s="565"/>
      <c r="QRS260" s="565"/>
      <c r="QRT260" s="566"/>
      <c r="QRU260" s="565"/>
      <c r="QRV260" s="565"/>
      <c r="QRW260" s="565"/>
      <c r="QRX260" s="565"/>
      <c r="QRY260" s="565"/>
      <c r="QRZ260" s="565"/>
      <c r="QSA260" s="565"/>
      <c r="QSB260" s="565"/>
      <c r="QSC260" s="565"/>
      <c r="QSD260" s="565"/>
      <c r="QSE260" s="565"/>
      <c r="QSF260" s="565"/>
      <c r="QSG260" s="565"/>
      <c r="QSH260" s="565"/>
      <c r="QSI260" s="565"/>
      <c r="QSJ260" s="565"/>
      <c r="QSK260" s="565"/>
      <c r="QSL260" s="565"/>
      <c r="QSM260" s="565"/>
      <c r="QSN260" s="566"/>
      <c r="QSO260" s="565"/>
      <c r="QSP260" s="565"/>
      <c r="QSQ260" s="565"/>
      <c r="QSR260" s="565"/>
      <c r="QSS260" s="565"/>
      <c r="QST260" s="565"/>
      <c r="QSU260" s="565"/>
      <c r="QSV260" s="565"/>
      <c r="QSW260" s="565"/>
      <c r="QSX260" s="565"/>
      <c r="QSY260" s="565"/>
      <c r="QSZ260" s="565"/>
      <c r="QTA260" s="565"/>
      <c r="QTB260" s="565"/>
      <c r="QTC260" s="565"/>
      <c r="QTD260" s="565"/>
      <c r="QTE260" s="565"/>
      <c r="QTF260" s="565"/>
      <c r="QTG260" s="565"/>
      <c r="QTH260" s="566"/>
      <c r="QTI260" s="565"/>
      <c r="QTJ260" s="565"/>
      <c r="QTK260" s="565"/>
      <c r="QTL260" s="565"/>
      <c r="QTM260" s="565"/>
      <c r="QTN260" s="565"/>
      <c r="QTO260" s="565"/>
      <c r="QTP260" s="565"/>
      <c r="QTQ260" s="565"/>
      <c r="QTR260" s="565"/>
      <c r="QTS260" s="565"/>
      <c r="QTT260" s="565"/>
      <c r="QTU260" s="565"/>
      <c r="QTV260" s="565"/>
      <c r="QTW260" s="565"/>
      <c r="QTX260" s="565"/>
      <c r="QTY260" s="565"/>
      <c r="QTZ260" s="565"/>
      <c r="QUA260" s="565"/>
      <c r="QUB260" s="566"/>
      <c r="QUC260" s="565"/>
      <c r="QUD260" s="565"/>
      <c r="QUE260" s="565"/>
      <c r="QUF260" s="565"/>
      <c r="QUG260" s="565"/>
      <c r="QUH260" s="565"/>
      <c r="QUI260" s="565"/>
      <c r="QUJ260" s="565"/>
      <c r="QUK260" s="565"/>
      <c r="QUL260" s="565"/>
      <c r="QUM260" s="565"/>
      <c r="QUN260" s="565"/>
      <c r="QUO260" s="565"/>
      <c r="QUP260" s="565"/>
      <c r="QUQ260" s="565"/>
      <c r="QUR260" s="565"/>
      <c r="QUS260" s="565"/>
      <c r="QUT260" s="565"/>
      <c r="QUU260" s="565"/>
      <c r="QUV260" s="566"/>
      <c r="QUW260" s="565"/>
      <c r="QUX260" s="565"/>
      <c r="QUY260" s="565"/>
      <c r="QUZ260" s="565"/>
      <c r="QVA260" s="565"/>
      <c r="QVB260" s="565"/>
      <c r="QVC260" s="565"/>
      <c r="QVD260" s="565"/>
      <c r="QVE260" s="565"/>
      <c r="QVF260" s="565"/>
      <c r="QVG260" s="565"/>
      <c r="QVH260" s="565"/>
      <c r="QVI260" s="565"/>
      <c r="QVJ260" s="565"/>
      <c r="QVK260" s="565"/>
      <c r="QVL260" s="565"/>
      <c r="QVM260" s="565"/>
      <c r="QVN260" s="565"/>
      <c r="QVO260" s="565"/>
      <c r="QVP260" s="566"/>
      <c r="QVQ260" s="565"/>
      <c r="QVR260" s="565"/>
      <c r="QVS260" s="565"/>
      <c r="QVT260" s="565"/>
      <c r="QVU260" s="565"/>
      <c r="QVV260" s="565"/>
      <c r="QVW260" s="565"/>
      <c r="QVX260" s="565"/>
      <c r="QVY260" s="565"/>
      <c r="QVZ260" s="565"/>
      <c r="QWA260" s="565"/>
      <c r="QWB260" s="565"/>
      <c r="QWC260" s="565"/>
      <c r="QWD260" s="565"/>
      <c r="QWE260" s="565"/>
      <c r="QWF260" s="565"/>
      <c r="QWG260" s="565"/>
      <c r="QWH260" s="565"/>
      <c r="QWI260" s="565"/>
      <c r="QWJ260" s="566"/>
      <c r="QWK260" s="565"/>
      <c r="QWL260" s="565"/>
      <c r="QWM260" s="565"/>
      <c r="QWN260" s="565"/>
      <c r="QWO260" s="565"/>
      <c r="QWP260" s="565"/>
      <c r="QWQ260" s="565"/>
      <c r="QWR260" s="565"/>
      <c r="QWS260" s="565"/>
      <c r="QWT260" s="565"/>
      <c r="QWU260" s="565"/>
      <c r="QWV260" s="565"/>
      <c r="QWW260" s="565"/>
      <c r="QWX260" s="565"/>
      <c r="QWY260" s="565"/>
      <c r="QWZ260" s="565"/>
      <c r="QXA260" s="565"/>
      <c r="QXB260" s="565"/>
      <c r="QXC260" s="565"/>
      <c r="QXD260" s="566"/>
      <c r="QXE260" s="565"/>
      <c r="QXF260" s="565"/>
      <c r="QXG260" s="565"/>
      <c r="QXH260" s="565"/>
      <c r="QXI260" s="565"/>
      <c r="QXJ260" s="565"/>
      <c r="QXK260" s="565"/>
      <c r="QXL260" s="565"/>
      <c r="QXM260" s="565"/>
      <c r="QXN260" s="565"/>
      <c r="QXO260" s="565"/>
      <c r="QXP260" s="565"/>
      <c r="QXQ260" s="565"/>
      <c r="QXR260" s="565"/>
      <c r="QXS260" s="565"/>
      <c r="QXT260" s="565"/>
      <c r="QXU260" s="565"/>
      <c r="QXV260" s="565"/>
      <c r="QXW260" s="565"/>
      <c r="QXX260" s="566"/>
      <c r="QXY260" s="565"/>
      <c r="QXZ260" s="565"/>
      <c r="QYA260" s="565"/>
      <c r="QYB260" s="565"/>
      <c r="QYC260" s="565"/>
      <c r="QYD260" s="565"/>
      <c r="QYE260" s="565"/>
      <c r="QYF260" s="565"/>
      <c r="QYG260" s="565"/>
      <c r="QYH260" s="565"/>
      <c r="QYI260" s="565"/>
      <c r="QYJ260" s="565"/>
      <c r="QYK260" s="565"/>
      <c r="QYL260" s="565"/>
      <c r="QYM260" s="565"/>
      <c r="QYN260" s="565"/>
      <c r="QYO260" s="565"/>
      <c r="QYP260" s="565"/>
      <c r="QYQ260" s="565"/>
      <c r="QYR260" s="566"/>
      <c r="QYS260" s="565"/>
      <c r="QYT260" s="565"/>
      <c r="QYU260" s="565"/>
      <c r="QYV260" s="565"/>
      <c r="QYW260" s="565"/>
      <c r="QYX260" s="565"/>
      <c r="QYY260" s="565"/>
      <c r="QYZ260" s="565"/>
      <c r="QZA260" s="565"/>
      <c r="QZB260" s="565"/>
      <c r="QZC260" s="565"/>
      <c r="QZD260" s="565"/>
      <c r="QZE260" s="565"/>
      <c r="QZF260" s="565"/>
      <c r="QZG260" s="565"/>
      <c r="QZH260" s="565"/>
      <c r="QZI260" s="565"/>
      <c r="QZJ260" s="565"/>
      <c r="QZK260" s="565"/>
      <c r="QZL260" s="566"/>
      <c r="QZM260" s="565"/>
      <c r="QZN260" s="565"/>
      <c r="QZO260" s="565"/>
      <c r="QZP260" s="565"/>
      <c r="QZQ260" s="565"/>
      <c r="QZR260" s="565"/>
      <c r="QZS260" s="565"/>
      <c r="QZT260" s="565"/>
      <c r="QZU260" s="565"/>
      <c r="QZV260" s="565"/>
      <c r="QZW260" s="565"/>
      <c r="QZX260" s="565"/>
      <c r="QZY260" s="565"/>
      <c r="QZZ260" s="565"/>
      <c r="RAA260" s="565"/>
      <c r="RAB260" s="565"/>
      <c r="RAC260" s="565"/>
      <c r="RAD260" s="565"/>
      <c r="RAE260" s="565"/>
      <c r="RAF260" s="566"/>
      <c r="RAG260" s="565"/>
      <c r="RAH260" s="565"/>
      <c r="RAI260" s="565"/>
      <c r="RAJ260" s="565"/>
      <c r="RAK260" s="565"/>
      <c r="RAL260" s="565"/>
      <c r="RAM260" s="565"/>
      <c r="RAN260" s="565"/>
      <c r="RAO260" s="565"/>
      <c r="RAP260" s="565"/>
      <c r="RAQ260" s="565"/>
      <c r="RAR260" s="565"/>
      <c r="RAS260" s="565"/>
      <c r="RAT260" s="565"/>
      <c r="RAU260" s="565"/>
      <c r="RAV260" s="565"/>
      <c r="RAW260" s="565"/>
      <c r="RAX260" s="565"/>
      <c r="RAY260" s="565"/>
      <c r="RAZ260" s="566"/>
      <c r="RBA260" s="565"/>
      <c r="RBB260" s="565"/>
      <c r="RBC260" s="565"/>
      <c r="RBD260" s="565"/>
      <c r="RBE260" s="565"/>
      <c r="RBF260" s="565"/>
      <c r="RBG260" s="565"/>
      <c r="RBH260" s="565"/>
      <c r="RBI260" s="565"/>
      <c r="RBJ260" s="565"/>
      <c r="RBK260" s="565"/>
      <c r="RBL260" s="565"/>
      <c r="RBM260" s="565"/>
      <c r="RBN260" s="565"/>
      <c r="RBO260" s="565"/>
      <c r="RBP260" s="565"/>
      <c r="RBQ260" s="565"/>
      <c r="RBR260" s="565"/>
      <c r="RBS260" s="565"/>
      <c r="RBT260" s="566"/>
      <c r="RBU260" s="565"/>
      <c r="RBV260" s="565"/>
      <c r="RBW260" s="565"/>
      <c r="RBX260" s="565"/>
      <c r="RBY260" s="565"/>
      <c r="RBZ260" s="565"/>
      <c r="RCA260" s="565"/>
      <c r="RCB260" s="565"/>
      <c r="RCC260" s="565"/>
      <c r="RCD260" s="565"/>
      <c r="RCE260" s="565"/>
      <c r="RCF260" s="565"/>
      <c r="RCG260" s="565"/>
      <c r="RCH260" s="565"/>
      <c r="RCI260" s="565"/>
      <c r="RCJ260" s="565"/>
      <c r="RCK260" s="565"/>
      <c r="RCL260" s="565"/>
      <c r="RCM260" s="565"/>
      <c r="RCN260" s="566"/>
      <c r="RCO260" s="565"/>
      <c r="RCP260" s="565"/>
      <c r="RCQ260" s="565"/>
      <c r="RCR260" s="565"/>
      <c r="RCS260" s="565"/>
      <c r="RCT260" s="565"/>
      <c r="RCU260" s="565"/>
      <c r="RCV260" s="565"/>
      <c r="RCW260" s="565"/>
      <c r="RCX260" s="565"/>
      <c r="RCY260" s="565"/>
      <c r="RCZ260" s="565"/>
      <c r="RDA260" s="565"/>
      <c r="RDB260" s="565"/>
      <c r="RDC260" s="565"/>
      <c r="RDD260" s="565"/>
      <c r="RDE260" s="565"/>
      <c r="RDF260" s="565"/>
      <c r="RDG260" s="565"/>
      <c r="RDH260" s="566"/>
      <c r="RDI260" s="565"/>
      <c r="RDJ260" s="565"/>
      <c r="RDK260" s="565"/>
      <c r="RDL260" s="565"/>
      <c r="RDM260" s="565"/>
      <c r="RDN260" s="565"/>
      <c r="RDO260" s="565"/>
      <c r="RDP260" s="565"/>
      <c r="RDQ260" s="565"/>
      <c r="RDR260" s="565"/>
      <c r="RDS260" s="565"/>
      <c r="RDT260" s="565"/>
      <c r="RDU260" s="565"/>
      <c r="RDV260" s="565"/>
      <c r="RDW260" s="565"/>
      <c r="RDX260" s="565"/>
      <c r="RDY260" s="565"/>
      <c r="RDZ260" s="565"/>
      <c r="REA260" s="565"/>
      <c r="REB260" s="566"/>
      <c r="REC260" s="565"/>
      <c r="RED260" s="565"/>
      <c r="REE260" s="565"/>
      <c r="REF260" s="565"/>
      <c r="REG260" s="565"/>
      <c r="REH260" s="565"/>
      <c r="REI260" s="565"/>
      <c r="REJ260" s="565"/>
      <c r="REK260" s="565"/>
      <c r="REL260" s="565"/>
      <c r="REM260" s="565"/>
      <c r="REN260" s="565"/>
      <c r="REO260" s="565"/>
      <c r="REP260" s="565"/>
      <c r="REQ260" s="565"/>
      <c r="RER260" s="565"/>
      <c r="RES260" s="565"/>
      <c r="RET260" s="565"/>
      <c r="REU260" s="565"/>
      <c r="REV260" s="566"/>
      <c r="REW260" s="565"/>
      <c r="REX260" s="565"/>
      <c r="REY260" s="565"/>
      <c r="REZ260" s="565"/>
      <c r="RFA260" s="565"/>
      <c r="RFB260" s="565"/>
      <c r="RFC260" s="565"/>
      <c r="RFD260" s="565"/>
      <c r="RFE260" s="565"/>
      <c r="RFF260" s="565"/>
      <c r="RFG260" s="565"/>
      <c r="RFH260" s="565"/>
      <c r="RFI260" s="565"/>
      <c r="RFJ260" s="565"/>
      <c r="RFK260" s="565"/>
      <c r="RFL260" s="565"/>
      <c r="RFM260" s="565"/>
      <c r="RFN260" s="565"/>
      <c r="RFO260" s="565"/>
      <c r="RFP260" s="566"/>
      <c r="RFQ260" s="565"/>
      <c r="RFR260" s="565"/>
      <c r="RFS260" s="565"/>
      <c r="RFT260" s="565"/>
      <c r="RFU260" s="565"/>
      <c r="RFV260" s="565"/>
      <c r="RFW260" s="565"/>
      <c r="RFX260" s="565"/>
      <c r="RFY260" s="565"/>
      <c r="RFZ260" s="565"/>
      <c r="RGA260" s="565"/>
      <c r="RGB260" s="565"/>
      <c r="RGC260" s="565"/>
      <c r="RGD260" s="565"/>
      <c r="RGE260" s="565"/>
      <c r="RGF260" s="565"/>
      <c r="RGG260" s="565"/>
      <c r="RGH260" s="565"/>
      <c r="RGI260" s="565"/>
      <c r="RGJ260" s="566"/>
      <c r="RGK260" s="565"/>
      <c r="RGL260" s="565"/>
      <c r="RGM260" s="565"/>
      <c r="RGN260" s="565"/>
      <c r="RGO260" s="565"/>
      <c r="RGP260" s="565"/>
      <c r="RGQ260" s="565"/>
      <c r="RGR260" s="565"/>
      <c r="RGS260" s="565"/>
      <c r="RGT260" s="565"/>
      <c r="RGU260" s="565"/>
      <c r="RGV260" s="565"/>
      <c r="RGW260" s="565"/>
      <c r="RGX260" s="565"/>
      <c r="RGY260" s="565"/>
      <c r="RGZ260" s="565"/>
      <c r="RHA260" s="565"/>
      <c r="RHB260" s="565"/>
      <c r="RHC260" s="565"/>
      <c r="RHD260" s="566"/>
      <c r="RHE260" s="565"/>
      <c r="RHF260" s="565"/>
      <c r="RHG260" s="565"/>
      <c r="RHH260" s="565"/>
      <c r="RHI260" s="565"/>
      <c r="RHJ260" s="565"/>
      <c r="RHK260" s="565"/>
      <c r="RHL260" s="565"/>
      <c r="RHM260" s="565"/>
      <c r="RHN260" s="565"/>
      <c r="RHO260" s="565"/>
      <c r="RHP260" s="565"/>
      <c r="RHQ260" s="565"/>
      <c r="RHR260" s="565"/>
      <c r="RHS260" s="565"/>
      <c r="RHT260" s="565"/>
      <c r="RHU260" s="565"/>
      <c r="RHV260" s="565"/>
      <c r="RHW260" s="565"/>
      <c r="RHX260" s="566"/>
      <c r="RHY260" s="565"/>
      <c r="RHZ260" s="565"/>
      <c r="RIA260" s="565"/>
      <c r="RIB260" s="565"/>
      <c r="RIC260" s="565"/>
      <c r="RID260" s="565"/>
      <c r="RIE260" s="565"/>
      <c r="RIF260" s="565"/>
      <c r="RIG260" s="565"/>
      <c r="RIH260" s="565"/>
      <c r="RII260" s="565"/>
      <c r="RIJ260" s="565"/>
      <c r="RIK260" s="565"/>
      <c r="RIL260" s="565"/>
      <c r="RIM260" s="565"/>
      <c r="RIN260" s="565"/>
      <c r="RIO260" s="565"/>
      <c r="RIP260" s="565"/>
      <c r="RIQ260" s="565"/>
      <c r="RIR260" s="566"/>
      <c r="RIS260" s="565"/>
      <c r="RIT260" s="565"/>
      <c r="RIU260" s="565"/>
      <c r="RIV260" s="565"/>
      <c r="RIW260" s="565"/>
      <c r="RIX260" s="565"/>
      <c r="RIY260" s="565"/>
      <c r="RIZ260" s="565"/>
      <c r="RJA260" s="565"/>
      <c r="RJB260" s="565"/>
      <c r="RJC260" s="565"/>
      <c r="RJD260" s="565"/>
      <c r="RJE260" s="565"/>
      <c r="RJF260" s="565"/>
      <c r="RJG260" s="565"/>
      <c r="RJH260" s="565"/>
      <c r="RJI260" s="565"/>
      <c r="RJJ260" s="565"/>
      <c r="RJK260" s="565"/>
      <c r="RJL260" s="566"/>
      <c r="RJM260" s="565"/>
      <c r="RJN260" s="565"/>
      <c r="RJO260" s="565"/>
      <c r="RJP260" s="565"/>
      <c r="RJQ260" s="565"/>
      <c r="RJR260" s="565"/>
      <c r="RJS260" s="565"/>
      <c r="RJT260" s="565"/>
      <c r="RJU260" s="565"/>
      <c r="RJV260" s="565"/>
      <c r="RJW260" s="565"/>
      <c r="RJX260" s="565"/>
      <c r="RJY260" s="565"/>
      <c r="RJZ260" s="565"/>
      <c r="RKA260" s="565"/>
      <c r="RKB260" s="565"/>
      <c r="RKC260" s="565"/>
      <c r="RKD260" s="565"/>
      <c r="RKE260" s="565"/>
      <c r="RKF260" s="566"/>
      <c r="RKG260" s="565"/>
      <c r="RKH260" s="565"/>
      <c r="RKI260" s="565"/>
      <c r="RKJ260" s="565"/>
      <c r="RKK260" s="565"/>
      <c r="RKL260" s="565"/>
      <c r="RKM260" s="565"/>
      <c r="RKN260" s="565"/>
      <c r="RKO260" s="565"/>
      <c r="RKP260" s="565"/>
      <c r="RKQ260" s="565"/>
      <c r="RKR260" s="565"/>
      <c r="RKS260" s="565"/>
      <c r="RKT260" s="565"/>
      <c r="RKU260" s="565"/>
      <c r="RKV260" s="565"/>
      <c r="RKW260" s="565"/>
      <c r="RKX260" s="565"/>
      <c r="RKY260" s="565"/>
      <c r="RKZ260" s="566"/>
      <c r="RLA260" s="565"/>
      <c r="RLB260" s="565"/>
      <c r="RLC260" s="565"/>
      <c r="RLD260" s="565"/>
      <c r="RLE260" s="565"/>
      <c r="RLF260" s="565"/>
      <c r="RLG260" s="565"/>
      <c r="RLH260" s="565"/>
      <c r="RLI260" s="565"/>
      <c r="RLJ260" s="565"/>
      <c r="RLK260" s="565"/>
      <c r="RLL260" s="565"/>
      <c r="RLM260" s="565"/>
      <c r="RLN260" s="565"/>
      <c r="RLO260" s="565"/>
      <c r="RLP260" s="565"/>
      <c r="RLQ260" s="565"/>
      <c r="RLR260" s="565"/>
      <c r="RLS260" s="565"/>
      <c r="RLT260" s="566"/>
      <c r="RLU260" s="565"/>
      <c r="RLV260" s="565"/>
      <c r="RLW260" s="565"/>
      <c r="RLX260" s="565"/>
      <c r="RLY260" s="565"/>
      <c r="RLZ260" s="565"/>
      <c r="RMA260" s="565"/>
      <c r="RMB260" s="565"/>
      <c r="RMC260" s="565"/>
      <c r="RMD260" s="565"/>
      <c r="RME260" s="565"/>
      <c r="RMF260" s="565"/>
      <c r="RMG260" s="565"/>
      <c r="RMH260" s="565"/>
      <c r="RMI260" s="565"/>
      <c r="RMJ260" s="565"/>
      <c r="RMK260" s="565"/>
      <c r="RML260" s="565"/>
      <c r="RMM260" s="565"/>
      <c r="RMN260" s="566"/>
      <c r="RMO260" s="565"/>
      <c r="RMP260" s="565"/>
      <c r="RMQ260" s="565"/>
      <c r="RMR260" s="565"/>
      <c r="RMS260" s="565"/>
      <c r="RMT260" s="565"/>
      <c r="RMU260" s="565"/>
      <c r="RMV260" s="565"/>
      <c r="RMW260" s="565"/>
      <c r="RMX260" s="565"/>
      <c r="RMY260" s="565"/>
      <c r="RMZ260" s="565"/>
      <c r="RNA260" s="565"/>
      <c r="RNB260" s="565"/>
      <c r="RNC260" s="565"/>
      <c r="RND260" s="565"/>
      <c r="RNE260" s="565"/>
      <c r="RNF260" s="565"/>
      <c r="RNG260" s="565"/>
      <c r="RNH260" s="566"/>
      <c r="RNI260" s="565"/>
      <c r="RNJ260" s="565"/>
      <c r="RNK260" s="565"/>
      <c r="RNL260" s="565"/>
      <c r="RNM260" s="565"/>
      <c r="RNN260" s="565"/>
      <c r="RNO260" s="565"/>
      <c r="RNP260" s="565"/>
      <c r="RNQ260" s="565"/>
      <c r="RNR260" s="565"/>
      <c r="RNS260" s="565"/>
      <c r="RNT260" s="565"/>
      <c r="RNU260" s="565"/>
      <c r="RNV260" s="565"/>
      <c r="RNW260" s="565"/>
      <c r="RNX260" s="565"/>
      <c r="RNY260" s="565"/>
      <c r="RNZ260" s="565"/>
      <c r="ROA260" s="565"/>
      <c r="ROB260" s="566"/>
      <c r="ROC260" s="565"/>
      <c r="ROD260" s="565"/>
      <c r="ROE260" s="565"/>
      <c r="ROF260" s="565"/>
      <c r="ROG260" s="565"/>
      <c r="ROH260" s="565"/>
      <c r="ROI260" s="565"/>
      <c r="ROJ260" s="565"/>
      <c r="ROK260" s="565"/>
      <c r="ROL260" s="565"/>
      <c r="ROM260" s="565"/>
      <c r="RON260" s="565"/>
      <c r="ROO260" s="565"/>
      <c r="ROP260" s="565"/>
      <c r="ROQ260" s="565"/>
      <c r="ROR260" s="565"/>
      <c r="ROS260" s="565"/>
      <c r="ROT260" s="565"/>
      <c r="ROU260" s="565"/>
      <c r="ROV260" s="566"/>
      <c r="ROW260" s="565"/>
      <c r="ROX260" s="565"/>
      <c r="ROY260" s="565"/>
      <c r="ROZ260" s="565"/>
      <c r="RPA260" s="565"/>
      <c r="RPB260" s="565"/>
      <c r="RPC260" s="565"/>
      <c r="RPD260" s="565"/>
      <c r="RPE260" s="565"/>
      <c r="RPF260" s="565"/>
      <c r="RPG260" s="565"/>
      <c r="RPH260" s="565"/>
      <c r="RPI260" s="565"/>
      <c r="RPJ260" s="565"/>
      <c r="RPK260" s="565"/>
      <c r="RPL260" s="565"/>
      <c r="RPM260" s="565"/>
      <c r="RPN260" s="565"/>
      <c r="RPO260" s="565"/>
      <c r="RPP260" s="566"/>
      <c r="RPQ260" s="565"/>
      <c r="RPR260" s="565"/>
      <c r="RPS260" s="565"/>
      <c r="RPT260" s="565"/>
      <c r="RPU260" s="565"/>
      <c r="RPV260" s="565"/>
      <c r="RPW260" s="565"/>
      <c r="RPX260" s="565"/>
      <c r="RPY260" s="565"/>
      <c r="RPZ260" s="565"/>
      <c r="RQA260" s="565"/>
      <c r="RQB260" s="565"/>
      <c r="RQC260" s="565"/>
      <c r="RQD260" s="565"/>
      <c r="RQE260" s="565"/>
      <c r="RQF260" s="565"/>
      <c r="RQG260" s="565"/>
      <c r="RQH260" s="565"/>
      <c r="RQI260" s="565"/>
      <c r="RQJ260" s="566"/>
      <c r="RQK260" s="565"/>
      <c r="RQL260" s="565"/>
      <c r="RQM260" s="565"/>
      <c r="RQN260" s="565"/>
      <c r="RQO260" s="565"/>
      <c r="RQP260" s="565"/>
      <c r="RQQ260" s="565"/>
      <c r="RQR260" s="565"/>
      <c r="RQS260" s="565"/>
      <c r="RQT260" s="565"/>
      <c r="RQU260" s="565"/>
      <c r="RQV260" s="565"/>
      <c r="RQW260" s="565"/>
      <c r="RQX260" s="565"/>
      <c r="RQY260" s="565"/>
      <c r="RQZ260" s="565"/>
      <c r="RRA260" s="565"/>
      <c r="RRB260" s="565"/>
      <c r="RRC260" s="565"/>
      <c r="RRD260" s="566"/>
      <c r="RRE260" s="565"/>
      <c r="RRF260" s="565"/>
      <c r="RRG260" s="565"/>
      <c r="RRH260" s="565"/>
      <c r="RRI260" s="565"/>
      <c r="RRJ260" s="565"/>
      <c r="RRK260" s="565"/>
      <c r="RRL260" s="565"/>
      <c r="RRM260" s="565"/>
      <c r="RRN260" s="565"/>
      <c r="RRO260" s="565"/>
      <c r="RRP260" s="565"/>
      <c r="RRQ260" s="565"/>
      <c r="RRR260" s="565"/>
      <c r="RRS260" s="565"/>
      <c r="RRT260" s="565"/>
      <c r="RRU260" s="565"/>
      <c r="RRV260" s="565"/>
      <c r="RRW260" s="565"/>
      <c r="RRX260" s="566"/>
      <c r="RRY260" s="565"/>
      <c r="RRZ260" s="565"/>
      <c r="RSA260" s="565"/>
      <c r="RSB260" s="565"/>
      <c r="RSC260" s="565"/>
      <c r="RSD260" s="565"/>
      <c r="RSE260" s="565"/>
      <c r="RSF260" s="565"/>
      <c r="RSG260" s="565"/>
      <c r="RSH260" s="565"/>
      <c r="RSI260" s="565"/>
      <c r="RSJ260" s="565"/>
      <c r="RSK260" s="565"/>
      <c r="RSL260" s="565"/>
      <c r="RSM260" s="565"/>
      <c r="RSN260" s="565"/>
      <c r="RSO260" s="565"/>
      <c r="RSP260" s="565"/>
      <c r="RSQ260" s="565"/>
      <c r="RSR260" s="566"/>
      <c r="RSS260" s="565"/>
      <c r="RST260" s="565"/>
      <c r="RSU260" s="565"/>
      <c r="RSV260" s="565"/>
      <c r="RSW260" s="565"/>
      <c r="RSX260" s="565"/>
      <c r="RSY260" s="565"/>
      <c r="RSZ260" s="565"/>
      <c r="RTA260" s="565"/>
      <c r="RTB260" s="565"/>
      <c r="RTC260" s="565"/>
      <c r="RTD260" s="565"/>
      <c r="RTE260" s="565"/>
      <c r="RTF260" s="565"/>
      <c r="RTG260" s="565"/>
      <c r="RTH260" s="565"/>
      <c r="RTI260" s="565"/>
      <c r="RTJ260" s="565"/>
      <c r="RTK260" s="565"/>
      <c r="RTL260" s="566"/>
      <c r="RTM260" s="565"/>
      <c r="RTN260" s="565"/>
      <c r="RTO260" s="565"/>
      <c r="RTP260" s="565"/>
      <c r="RTQ260" s="565"/>
      <c r="RTR260" s="565"/>
      <c r="RTS260" s="565"/>
      <c r="RTT260" s="565"/>
      <c r="RTU260" s="565"/>
      <c r="RTV260" s="565"/>
      <c r="RTW260" s="565"/>
      <c r="RTX260" s="565"/>
      <c r="RTY260" s="565"/>
      <c r="RTZ260" s="565"/>
      <c r="RUA260" s="565"/>
      <c r="RUB260" s="565"/>
      <c r="RUC260" s="565"/>
      <c r="RUD260" s="565"/>
      <c r="RUE260" s="565"/>
      <c r="RUF260" s="566"/>
      <c r="RUG260" s="565"/>
      <c r="RUH260" s="565"/>
      <c r="RUI260" s="565"/>
      <c r="RUJ260" s="565"/>
      <c r="RUK260" s="565"/>
      <c r="RUL260" s="565"/>
      <c r="RUM260" s="565"/>
      <c r="RUN260" s="565"/>
      <c r="RUO260" s="565"/>
      <c r="RUP260" s="565"/>
      <c r="RUQ260" s="565"/>
      <c r="RUR260" s="565"/>
      <c r="RUS260" s="565"/>
      <c r="RUT260" s="565"/>
      <c r="RUU260" s="565"/>
      <c r="RUV260" s="565"/>
      <c r="RUW260" s="565"/>
      <c r="RUX260" s="565"/>
      <c r="RUY260" s="565"/>
      <c r="RUZ260" s="566"/>
      <c r="RVA260" s="565"/>
      <c r="RVB260" s="565"/>
      <c r="RVC260" s="565"/>
      <c r="RVD260" s="565"/>
      <c r="RVE260" s="565"/>
      <c r="RVF260" s="565"/>
      <c r="RVG260" s="565"/>
      <c r="RVH260" s="565"/>
      <c r="RVI260" s="565"/>
      <c r="RVJ260" s="565"/>
      <c r="RVK260" s="565"/>
      <c r="RVL260" s="565"/>
      <c r="RVM260" s="565"/>
      <c r="RVN260" s="565"/>
      <c r="RVO260" s="565"/>
      <c r="RVP260" s="565"/>
      <c r="RVQ260" s="565"/>
      <c r="RVR260" s="565"/>
      <c r="RVS260" s="565"/>
      <c r="RVT260" s="566"/>
      <c r="RVU260" s="565"/>
      <c r="RVV260" s="565"/>
      <c r="RVW260" s="565"/>
      <c r="RVX260" s="565"/>
      <c r="RVY260" s="565"/>
      <c r="RVZ260" s="565"/>
      <c r="RWA260" s="565"/>
      <c r="RWB260" s="565"/>
      <c r="RWC260" s="565"/>
      <c r="RWD260" s="565"/>
      <c r="RWE260" s="565"/>
      <c r="RWF260" s="565"/>
      <c r="RWG260" s="565"/>
      <c r="RWH260" s="565"/>
      <c r="RWI260" s="565"/>
      <c r="RWJ260" s="565"/>
      <c r="RWK260" s="565"/>
      <c r="RWL260" s="565"/>
      <c r="RWM260" s="565"/>
      <c r="RWN260" s="566"/>
      <c r="RWO260" s="565"/>
      <c r="RWP260" s="565"/>
      <c r="RWQ260" s="565"/>
      <c r="RWR260" s="565"/>
      <c r="RWS260" s="565"/>
      <c r="RWT260" s="565"/>
      <c r="RWU260" s="565"/>
      <c r="RWV260" s="565"/>
      <c r="RWW260" s="565"/>
      <c r="RWX260" s="565"/>
      <c r="RWY260" s="565"/>
      <c r="RWZ260" s="565"/>
      <c r="RXA260" s="565"/>
      <c r="RXB260" s="565"/>
      <c r="RXC260" s="565"/>
      <c r="RXD260" s="565"/>
      <c r="RXE260" s="565"/>
      <c r="RXF260" s="565"/>
      <c r="RXG260" s="565"/>
      <c r="RXH260" s="566"/>
      <c r="RXI260" s="565"/>
      <c r="RXJ260" s="565"/>
      <c r="RXK260" s="565"/>
      <c r="RXL260" s="565"/>
      <c r="RXM260" s="565"/>
      <c r="RXN260" s="565"/>
      <c r="RXO260" s="565"/>
      <c r="RXP260" s="565"/>
      <c r="RXQ260" s="565"/>
      <c r="RXR260" s="565"/>
      <c r="RXS260" s="565"/>
      <c r="RXT260" s="565"/>
      <c r="RXU260" s="565"/>
      <c r="RXV260" s="565"/>
      <c r="RXW260" s="565"/>
      <c r="RXX260" s="565"/>
      <c r="RXY260" s="565"/>
      <c r="RXZ260" s="565"/>
      <c r="RYA260" s="565"/>
      <c r="RYB260" s="566"/>
      <c r="RYC260" s="565"/>
      <c r="RYD260" s="565"/>
      <c r="RYE260" s="565"/>
      <c r="RYF260" s="565"/>
      <c r="RYG260" s="565"/>
      <c r="RYH260" s="565"/>
      <c r="RYI260" s="565"/>
      <c r="RYJ260" s="565"/>
      <c r="RYK260" s="565"/>
      <c r="RYL260" s="565"/>
      <c r="RYM260" s="565"/>
      <c r="RYN260" s="565"/>
      <c r="RYO260" s="565"/>
      <c r="RYP260" s="565"/>
      <c r="RYQ260" s="565"/>
      <c r="RYR260" s="565"/>
      <c r="RYS260" s="565"/>
      <c r="RYT260" s="565"/>
      <c r="RYU260" s="565"/>
      <c r="RYV260" s="566"/>
      <c r="RYW260" s="565"/>
      <c r="RYX260" s="565"/>
      <c r="RYY260" s="565"/>
      <c r="RYZ260" s="565"/>
      <c r="RZA260" s="565"/>
      <c r="RZB260" s="565"/>
      <c r="RZC260" s="565"/>
      <c r="RZD260" s="565"/>
      <c r="RZE260" s="565"/>
      <c r="RZF260" s="565"/>
      <c r="RZG260" s="565"/>
      <c r="RZH260" s="565"/>
      <c r="RZI260" s="565"/>
      <c r="RZJ260" s="565"/>
      <c r="RZK260" s="565"/>
      <c r="RZL260" s="565"/>
      <c r="RZM260" s="565"/>
      <c r="RZN260" s="565"/>
      <c r="RZO260" s="565"/>
      <c r="RZP260" s="566"/>
      <c r="RZQ260" s="565"/>
      <c r="RZR260" s="565"/>
      <c r="RZS260" s="565"/>
      <c r="RZT260" s="565"/>
      <c r="RZU260" s="565"/>
      <c r="RZV260" s="565"/>
      <c r="RZW260" s="565"/>
      <c r="RZX260" s="565"/>
      <c r="RZY260" s="565"/>
      <c r="RZZ260" s="565"/>
      <c r="SAA260" s="565"/>
      <c r="SAB260" s="565"/>
      <c r="SAC260" s="565"/>
      <c r="SAD260" s="565"/>
      <c r="SAE260" s="565"/>
      <c r="SAF260" s="565"/>
      <c r="SAG260" s="565"/>
      <c r="SAH260" s="565"/>
      <c r="SAI260" s="565"/>
      <c r="SAJ260" s="566"/>
      <c r="SAK260" s="565"/>
      <c r="SAL260" s="565"/>
      <c r="SAM260" s="565"/>
      <c r="SAN260" s="565"/>
      <c r="SAO260" s="565"/>
      <c r="SAP260" s="565"/>
      <c r="SAQ260" s="565"/>
      <c r="SAR260" s="565"/>
      <c r="SAS260" s="565"/>
      <c r="SAT260" s="565"/>
      <c r="SAU260" s="565"/>
      <c r="SAV260" s="565"/>
      <c r="SAW260" s="565"/>
      <c r="SAX260" s="565"/>
      <c r="SAY260" s="565"/>
      <c r="SAZ260" s="565"/>
      <c r="SBA260" s="565"/>
      <c r="SBB260" s="565"/>
      <c r="SBC260" s="565"/>
      <c r="SBD260" s="566"/>
      <c r="SBE260" s="565"/>
      <c r="SBF260" s="565"/>
      <c r="SBG260" s="565"/>
      <c r="SBH260" s="565"/>
      <c r="SBI260" s="565"/>
      <c r="SBJ260" s="565"/>
      <c r="SBK260" s="565"/>
      <c r="SBL260" s="565"/>
      <c r="SBM260" s="565"/>
      <c r="SBN260" s="565"/>
      <c r="SBO260" s="565"/>
      <c r="SBP260" s="565"/>
      <c r="SBQ260" s="565"/>
      <c r="SBR260" s="565"/>
      <c r="SBS260" s="565"/>
      <c r="SBT260" s="565"/>
      <c r="SBU260" s="565"/>
      <c r="SBV260" s="565"/>
      <c r="SBW260" s="565"/>
      <c r="SBX260" s="566"/>
      <c r="SBY260" s="565"/>
      <c r="SBZ260" s="565"/>
      <c r="SCA260" s="565"/>
      <c r="SCB260" s="565"/>
      <c r="SCC260" s="565"/>
      <c r="SCD260" s="565"/>
      <c r="SCE260" s="565"/>
      <c r="SCF260" s="565"/>
      <c r="SCG260" s="565"/>
      <c r="SCH260" s="565"/>
      <c r="SCI260" s="565"/>
      <c r="SCJ260" s="565"/>
      <c r="SCK260" s="565"/>
      <c r="SCL260" s="565"/>
      <c r="SCM260" s="565"/>
      <c r="SCN260" s="565"/>
      <c r="SCO260" s="565"/>
      <c r="SCP260" s="565"/>
      <c r="SCQ260" s="565"/>
      <c r="SCR260" s="566"/>
      <c r="SCS260" s="565"/>
      <c r="SCT260" s="565"/>
      <c r="SCU260" s="565"/>
      <c r="SCV260" s="565"/>
      <c r="SCW260" s="565"/>
      <c r="SCX260" s="565"/>
      <c r="SCY260" s="565"/>
      <c r="SCZ260" s="565"/>
      <c r="SDA260" s="565"/>
      <c r="SDB260" s="565"/>
      <c r="SDC260" s="565"/>
      <c r="SDD260" s="565"/>
      <c r="SDE260" s="565"/>
      <c r="SDF260" s="565"/>
      <c r="SDG260" s="565"/>
      <c r="SDH260" s="565"/>
      <c r="SDI260" s="565"/>
      <c r="SDJ260" s="565"/>
      <c r="SDK260" s="565"/>
      <c r="SDL260" s="566"/>
      <c r="SDM260" s="565"/>
      <c r="SDN260" s="565"/>
      <c r="SDO260" s="565"/>
      <c r="SDP260" s="565"/>
      <c r="SDQ260" s="565"/>
      <c r="SDR260" s="565"/>
      <c r="SDS260" s="565"/>
      <c r="SDT260" s="565"/>
      <c r="SDU260" s="565"/>
      <c r="SDV260" s="565"/>
      <c r="SDW260" s="565"/>
      <c r="SDX260" s="565"/>
      <c r="SDY260" s="565"/>
      <c r="SDZ260" s="565"/>
      <c r="SEA260" s="565"/>
      <c r="SEB260" s="565"/>
      <c r="SEC260" s="565"/>
      <c r="SED260" s="565"/>
      <c r="SEE260" s="565"/>
      <c r="SEF260" s="566"/>
      <c r="SEG260" s="565"/>
      <c r="SEH260" s="565"/>
      <c r="SEI260" s="565"/>
      <c r="SEJ260" s="565"/>
      <c r="SEK260" s="565"/>
      <c r="SEL260" s="565"/>
      <c r="SEM260" s="565"/>
      <c r="SEN260" s="565"/>
      <c r="SEO260" s="565"/>
      <c r="SEP260" s="565"/>
      <c r="SEQ260" s="565"/>
      <c r="SER260" s="565"/>
      <c r="SES260" s="565"/>
      <c r="SET260" s="565"/>
      <c r="SEU260" s="565"/>
      <c r="SEV260" s="565"/>
      <c r="SEW260" s="565"/>
      <c r="SEX260" s="565"/>
      <c r="SEY260" s="565"/>
      <c r="SEZ260" s="566"/>
      <c r="SFA260" s="565"/>
      <c r="SFB260" s="565"/>
      <c r="SFC260" s="565"/>
      <c r="SFD260" s="565"/>
      <c r="SFE260" s="565"/>
      <c r="SFF260" s="565"/>
      <c r="SFG260" s="565"/>
      <c r="SFH260" s="565"/>
      <c r="SFI260" s="565"/>
      <c r="SFJ260" s="565"/>
      <c r="SFK260" s="565"/>
      <c r="SFL260" s="565"/>
      <c r="SFM260" s="565"/>
      <c r="SFN260" s="565"/>
      <c r="SFO260" s="565"/>
      <c r="SFP260" s="565"/>
      <c r="SFQ260" s="565"/>
      <c r="SFR260" s="565"/>
      <c r="SFS260" s="565"/>
      <c r="SFT260" s="566"/>
      <c r="SFU260" s="565"/>
      <c r="SFV260" s="565"/>
      <c r="SFW260" s="565"/>
      <c r="SFX260" s="565"/>
      <c r="SFY260" s="565"/>
      <c r="SFZ260" s="565"/>
      <c r="SGA260" s="565"/>
      <c r="SGB260" s="565"/>
      <c r="SGC260" s="565"/>
      <c r="SGD260" s="565"/>
      <c r="SGE260" s="565"/>
      <c r="SGF260" s="565"/>
      <c r="SGG260" s="565"/>
      <c r="SGH260" s="565"/>
      <c r="SGI260" s="565"/>
      <c r="SGJ260" s="565"/>
      <c r="SGK260" s="565"/>
      <c r="SGL260" s="565"/>
      <c r="SGM260" s="565"/>
      <c r="SGN260" s="566"/>
      <c r="SGO260" s="565"/>
      <c r="SGP260" s="565"/>
      <c r="SGQ260" s="565"/>
      <c r="SGR260" s="565"/>
      <c r="SGS260" s="565"/>
      <c r="SGT260" s="565"/>
      <c r="SGU260" s="565"/>
      <c r="SGV260" s="565"/>
      <c r="SGW260" s="565"/>
      <c r="SGX260" s="565"/>
      <c r="SGY260" s="565"/>
      <c r="SGZ260" s="565"/>
      <c r="SHA260" s="565"/>
      <c r="SHB260" s="565"/>
      <c r="SHC260" s="565"/>
      <c r="SHD260" s="565"/>
      <c r="SHE260" s="565"/>
      <c r="SHF260" s="565"/>
      <c r="SHG260" s="565"/>
      <c r="SHH260" s="566"/>
      <c r="SHI260" s="565"/>
      <c r="SHJ260" s="565"/>
      <c r="SHK260" s="565"/>
      <c r="SHL260" s="565"/>
      <c r="SHM260" s="565"/>
      <c r="SHN260" s="565"/>
      <c r="SHO260" s="565"/>
      <c r="SHP260" s="565"/>
      <c r="SHQ260" s="565"/>
      <c r="SHR260" s="565"/>
      <c r="SHS260" s="565"/>
      <c r="SHT260" s="565"/>
      <c r="SHU260" s="565"/>
      <c r="SHV260" s="565"/>
      <c r="SHW260" s="565"/>
      <c r="SHX260" s="565"/>
      <c r="SHY260" s="565"/>
      <c r="SHZ260" s="565"/>
      <c r="SIA260" s="565"/>
      <c r="SIB260" s="566"/>
      <c r="SIC260" s="565"/>
      <c r="SID260" s="565"/>
      <c r="SIE260" s="565"/>
      <c r="SIF260" s="565"/>
      <c r="SIG260" s="565"/>
      <c r="SIH260" s="565"/>
      <c r="SII260" s="565"/>
      <c r="SIJ260" s="565"/>
      <c r="SIK260" s="565"/>
      <c r="SIL260" s="565"/>
      <c r="SIM260" s="565"/>
      <c r="SIN260" s="565"/>
      <c r="SIO260" s="565"/>
      <c r="SIP260" s="565"/>
      <c r="SIQ260" s="565"/>
      <c r="SIR260" s="565"/>
      <c r="SIS260" s="565"/>
      <c r="SIT260" s="565"/>
      <c r="SIU260" s="565"/>
      <c r="SIV260" s="566"/>
      <c r="SIW260" s="565"/>
      <c r="SIX260" s="565"/>
      <c r="SIY260" s="565"/>
      <c r="SIZ260" s="565"/>
      <c r="SJA260" s="565"/>
      <c r="SJB260" s="565"/>
      <c r="SJC260" s="565"/>
      <c r="SJD260" s="565"/>
      <c r="SJE260" s="565"/>
      <c r="SJF260" s="565"/>
      <c r="SJG260" s="565"/>
      <c r="SJH260" s="565"/>
      <c r="SJI260" s="565"/>
      <c r="SJJ260" s="565"/>
      <c r="SJK260" s="565"/>
      <c r="SJL260" s="565"/>
      <c r="SJM260" s="565"/>
      <c r="SJN260" s="565"/>
      <c r="SJO260" s="565"/>
      <c r="SJP260" s="566"/>
      <c r="SJQ260" s="565"/>
      <c r="SJR260" s="565"/>
      <c r="SJS260" s="565"/>
      <c r="SJT260" s="565"/>
      <c r="SJU260" s="565"/>
      <c r="SJV260" s="565"/>
      <c r="SJW260" s="565"/>
      <c r="SJX260" s="565"/>
      <c r="SJY260" s="565"/>
      <c r="SJZ260" s="565"/>
      <c r="SKA260" s="565"/>
      <c r="SKB260" s="565"/>
      <c r="SKC260" s="565"/>
      <c r="SKD260" s="565"/>
      <c r="SKE260" s="565"/>
      <c r="SKF260" s="565"/>
      <c r="SKG260" s="565"/>
      <c r="SKH260" s="565"/>
      <c r="SKI260" s="565"/>
      <c r="SKJ260" s="566"/>
      <c r="SKK260" s="565"/>
      <c r="SKL260" s="565"/>
      <c r="SKM260" s="565"/>
      <c r="SKN260" s="565"/>
      <c r="SKO260" s="565"/>
      <c r="SKP260" s="565"/>
      <c r="SKQ260" s="565"/>
      <c r="SKR260" s="565"/>
      <c r="SKS260" s="565"/>
      <c r="SKT260" s="565"/>
      <c r="SKU260" s="565"/>
      <c r="SKV260" s="565"/>
      <c r="SKW260" s="565"/>
      <c r="SKX260" s="565"/>
      <c r="SKY260" s="565"/>
      <c r="SKZ260" s="565"/>
      <c r="SLA260" s="565"/>
      <c r="SLB260" s="565"/>
      <c r="SLC260" s="565"/>
      <c r="SLD260" s="566"/>
      <c r="SLE260" s="565"/>
      <c r="SLF260" s="565"/>
      <c r="SLG260" s="565"/>
      <c r="SLH260" s="565"/>
      <c r="SLI260" s="565"/>
      <c r="SLJ260" s="565"/>
      <c r="SLK260" s="565"/>
      <c r="SLL260" s="565"/>
      <c r="SLM260" s="565"/>
      <c r="SLN260" s="565"/>
      <c r="SLO260" s="565"/>
      <c r="SLP260" s="565"/>
      <c r="SLQ260" s="565"/>
      <c r="SLR260" s="565"/>
      <c r="SLS260" s="565"/>
      <c r="SLT260" s="565"/>
      <c r="SLU260" s="565"/>
      <c r="SLV260" s="565"/>
      <c r="SLW260" s="565"/>
      <c r="SLX260" s="566"/>
      <c r="SLY260" s="565"/>
      <c r="SLZ260" s="565"/>
      <c r="SMA260" s="565"/>
      <c r="SMB260" s="565"/>
      <c r="SMC260" s="565"/>
      <c r="SMD260" s="565"/>
      <c r="SME260" s="565"/>
      <c r="SMF260" s="565"/>
      <c r="SMG260" s="565"/>
      <c r="SMH260" s="565"/>
      <c r="SMI260" s="565"/>
      <c r="SMJ260" s="565"/>
      <c r="SMK260" s="565"/>
      <c r="SML260" s="565"/>
      <c r="SMM260" s="565"/>
      <c r="SMN260" s="565"/>
      <c r="SMO260" s="565"/>
      <c r="SMP260" s="565"/>
      <c r="SMQ260" s="565"/>
      <c r="SMR260" s="566"/>
      <c r="SMS260" s="565"/>
      <c r="SMT260" s="565"/>
      <c r="SMU260" s="565"/>
      <c r="SMV260" s="565"/>
      <c r="SMW260" s="565"/>
      <c r="SMX260" s="565"/>
      <c r="SMY260" s="565"/>
      <c r="SMZ260" s="565"/>
      <c r="SNA260" s="565"/>
      <c r="SNB260" s="565"/>
      <c r="SNC260" s="565"/>
      <c r="SND260" s="565"/>
      <c r="SNE260" s="565"/>
      <c r="SNF260" s="565"/>
      <c r="SNG260" s="565"/>
      <c r="SNH260" s="565"/>
      <c r="SNI260" s="565"/>
      <c r="SNJ260" s="565"/>
      <c r="SNK260" s="565"/>
      <c r="SNL260" s="566"/>
      <c r="SNM260" s="565"/>
      <c r="SNN260" s="565"/>
      <c r="SNO260" s="565"/>
      <c r="SNP260" s="565"/>
      <c r="SNQ260" s="565"/>
      <c r="SNR260" s="565"/>
      <c r="SNS260" s="565"/>
      <c r="SNT260" s="565"/>
      <c r="SNU260" s="565"/>
      <c r="SNV260" s="565"/>
      <c r="SNW260" s="565"/>
      <c r="SNX260" s="565"/>
      <c r="SNY260" s="565"/>
      <c r="SNZ260" s="565"/>
      <c r="SOA260" s="565"/>
      <c r="SOB260" s="565"/>
      <c r="SOC260" s="565"/>
      <c r="SOD260" s="565"/>
      <c r="SOE260" s="565"/>
      <c r="SOF260" s="566"/>
      <c r="SOG260" s="565"/>
      <c r="SOH260" s="565"/>
      <c r="SOI260" s="565"/>
      <c r="SOJ260" s="565"/>
      <c r="SOK260" s="565"/>
      <c r="SOL260" s="565"/>
      <c r="SOM260" s="565"/>
      <c r="SON260" s="565"/>
      <c r="SOO260" s="565"/>
      <c r="SOP260" s="565"/>
      <c r="SOQ260" s="565"/>
      <c r="SOR260" s="565"/>
      <c r="SOS260" s="565"/>
      <c r="SOT260" s="565"/>
      <c r="SOU260" s="565"/>
      <c r="SOV260" s="565"/>
      <c r="SOW260" s="565"/>
      <c r="SOX260" s="565"/>
      <c r="SOY260" s="565"/>
      <c r="SOZ260" s="566"/>
      <c r="SPA260" s="565"/>
      <c r="SPB260" s="565"/>
      <c r="SPC260" s="565"/>
      <c r="SPD260" s="565"/>
      <c r="SPE260" s="565"/>
      <c r="SPF260" s="565"/>
      <c r="SPG260" s="565"/>
      <c r="SPH260" s="565"/>
      <c r="SPI260" s="565"/>
      <c r="SPJ260" s="565"/>
      <c r="SPK260" s="565"/>
      <c r="SPL260" s="565"/>
      <c r="SPM260" s="565"/>
      <c r="SPN260" s="565"/>
      <c r="SPO260" s="565"/>
      <c r="SPP260" s="565"/>
      <c r="SPQ260" s="565"/>
      <c r="SPR260" s="565"/>
      <c r="SPS260" s="565"/>
      <c r="SPT260" s="566"/>
      <c r="SPU260" s="565"/>
      <c r="SPV260" s="565"/>
      <c r="SPW260" s="565"/>
      <c r="SPX260" s="565"/>
      <c r="SPY260" s="565"/>
      <c r="SPZ260" s="565"/>
      <c r="SQA260" s="565"/>
      <c r="SQB260" s="565"/>
      <c r="SQC260" s="565"/>
      <c r="SQD260" s="565"/>
      <c r="SQE260" s="565"/>
      <c r="SQF260" s="565"/>
      <c r="SQG260" s="565"/>
      <c r="SQH260" s="565"/>
      <c r="SQI260" s="565"/>
      <c r="SQJ260" s="565"/>
      <c r="SQK260" s="565"/>
      <c r="SQL260" s="565"/>
      <c r="SQM260" s="565"/>
      <c r="SQN260" s="566"/>
      <c r="SQO260" s="565"/>
      <c r="SQP260" s="565"/>
      <c r="SQQ260" s="565"/>
      <c r="SQR260" s="565"/>
      <c r="SQS260" s="565"/>
      <c r="SQT260" s="565"/>
      <c r="SQU260" s="565"/>
      <c r="SQV260" s="565"/>
      <c r="SQW260" s="565"/>
      <c r="SQX260" s="565"/>
      <c r="SQY260" s="565"/>
      <c r="SQZ260" s="565"/>
      <c r="SRA260" s="565"/>
      <c r="SRB260" s="565"/>
      <c r="SRC260" s="565"/>
      <c r="SRD260" s="565"/>
      <c r="SRE260" s="565"/>
      <c r="SRF260" s="565"/>
      <c r="SRG260" s="565"/>
      <c r="SRH260" s="566"/>
      <c r="SRI260" s="565"/>
      <c r="SRJ260" s="565"/>
      <c r="SRK260" s="565"/>
      <c r="SRL260" s="565"/>
      <c r="SRM260" s="565"/>
      <c r="SRN260" s="565"/>
      <c r="SRO260" s="565"/>
      <c r="SRP260" s="565"/>
      <c r="SRQ260" s="565"/>
      <c r="SRR260" s="565"/>
      <c r="SRS260" s="565"/>
      <c r="SRT260" s="565"/>
      <c r="SRU260" s="565"/>
      <c r="SRV260" s="565"/>
      <c r="SRW260" s="565"/>
      <c r="SRX260" s="565"/>
      <c r="SRY260" s="565"/>
      <c r="SRZ260" s="565"/>
      <c r="SSA260" s="565"/>
      <c r="SSB260" s="566"/>
      <c r="SSC260" s="565"/>
      <c r="SSD260" s="565"/>
      <c r="SSE260" s="565"/>
      <c r="SSF260" s="565"/>
      <c r="SSG260" s="565"/>
      <c r="SSH260" s="565"/>
      <c r="SSI260" s="565"/>
      <c r="SSJ260" s="565"/>
      <c r="SSK260" s="565"/>
      <c r="SSL260" s="565"/>
      <c r="SSM260" s="565"/>
      <c r="SSN260" s="565"/>
      <c r="SSO260" s="565"/>
      <c r="SSP260" s="565"/>
      <c r="SSQ260" s="565"/>
      <c r="SSR260" s="565"/>
      <c r="SSS260" s="565"/>
      <c r="SST260" s="565"/>
      <c r="SSU260" s="565"/>
      <c r="SSV260" s="566"/>
      <c r="SSW260" s="565"/>
      <c r="SSX260" s="565"/>
      <c r="SSY260" s="565"/>
      <c r="SSZ260" s="565"/>
      <c r="STA260" s="565"/>
      <c r="STB260" s="565"/>
      <c r="STC260" s="565"/>
      <c r="STD260" s="565"/>
      <c r="STE260" s="565"/>
      <c r="STF260" s="565"/>
      <c r="STG260" s="565"/>
      <c r="STH260" s="565"/>
      <c r="STI260" s="565"/>
      <c r="STJ260" s="565"/>
      <c r="STK260" s="565"/>
      <c r="STL260" s="565"/>
      <c r="STM260" s="565"/>
      <c r="STN260" s="565"/>
      <c r="STO260" s="565"/>
      <c r="STP260" s="566"/>
      <c r="STQ260" s="565"/>
      <c r="STR260" s="565"/>
      <c r="STS260" s="565"/>
      <c r="STT260" s="565"/>
      <c r="STU260" s="565"/>
      <c r="STV260" s="565"/>
      <c r="STW260" s="565"/>
      <c r="STX260" s="565"/>
      <c r="STY260" s="565"/>
      <c r="STZ260" s="565"/>
      <c r="SUA260" s="565"/>
      <c r="SUB260" s="565"/>
      <c r="SUC260" s="565"/>
      <c r="SUD260" s="565"/>
      <c r="SUE260" s="565"/>
      <c r="SUF260" s="565"/>
      <c r="SUG260" s="565"/>
      <c r="SUH260" s="565"/>
      <c r="SUI260" s="565"/>
      <c r="SUJ260" s="566"/>
      <c r="SUK260" s="565"/>
      <c r="SUL260" s="565"/>
      <c r="SUM260" s="565"/>
      <c r="SUN260" s="565"/>
      <c r="SUO260" s="565"/>
      <c r="SUP260" s="565"/>
      <c r="SUQ260" s="565"/>
      <c r="SUR260" s="565"/>
      <c r="SUS260" s="565"/>
      <c r="SUT260" s="565"/>
      <c r="SUU260" s="565"/>
      <c r="SUV260" s="565"/>
      <c r="SUW260" s="565"/>
      <c r="SUX260" s="565"/>
      <c r="SUY260" s="565"/>
      <c r="SUZ260" s="565"/>
      <c r="SVA260" s="565"/>
      <c r="SVB260" s="565"/>
      <c r="SVC260" s="565"/>
      <c r="SVD260" s="566"/>
      <c r="SVE260" s="565"/>
      <c r="SVF260" s="565"/>
      <c r="SVG260" s="565"/>
      <c r="SVH260" s="565"/>
      <c r="SVI260" s="565"/>
      <c r="SVJ260" s="565"/>
      <c r="SVK260" s="565"/>
      <c r="SVL260" s="565"/>
      <c r="SVM260" s="565"/>
      <c r="SVN260" s="565"/>
      <c r="SVO260" s="565"/>
      <c r="SVP260" s="565"/>
      <c r="SVQ260" s="565"/>
      <c r="SVR260" s="565"/>
      <c r="SVS260" s="565"/>
      <c r="SVT260" s="565"/>
      <c r="SVU260" s="565"/>
      <c r="SVV260" s="565"/>
      <c r="SVW260" s="565"/>
      <c r="SVX260" s="566"/>
      <c r="SVY260" s="565"/>
      <c r="SVZ260" s="565"/>
      <c r="SWA260" s="565"/>
      <c r="SWB260" s="565"/>
      <c r="SWC260" s="565"/>
      <c r="SWD260" s="565"/>
      <c r="SWE260" s="565"/>
      <c r="SWF260" s="565"/>
      <c r="SWG260" s="565"/>
      <c r="SWH260" s="565"/>
      <c r="SWI260" s="565"/>
      <c r="SWJ260" s="565"/>
      <c r="SWK260" s="565"/>
      <c r="SWL260" s="565"/>
      <c r="SWM260" s="565"/>
      <c r="SWN260" s="565"/>
      <c r="SWO260" s="565"/>
      <c r="SWP260" s="565"/>
      <c r="SWQ260" s="565"/>
      <c r="SWR260" s="566"/>
      <c r="SWS260" s="565"/>
      <c r="SWT260" s="565"/>
      <c r="SWU260" s="565"/>
      <c r="SWV260" s="565"/>
      <c r="SWW260" s="565"/>
      <c r="SWX260" s="565"/>
      <c r="SWY260" s="565"/>
      <c r="SWZ260" s="565"/>
      <c r="SXA260" s="565"/>
      <c r="SXB260" s="565"/>
      <c r="SXC260" s="565"/>
      <c r="SXD260" s="565"/>
      <c r="SXE260" s="565"/>
      <c r="SXF260" s="565"/>
      <c r="SXG260" s="565"/>
      <c r="SXH260" s="565"/>
      <c r="SXI260" s="565"/>
      <c r="SXJ260" s="565"/>
      <c r="SXK260" s="565"/>
      <c r="SXL260" s="566"/>
      <c r="SXM260" s="565"/>
      <c r="SXN260" s="565"/>
      <c r="SXO260" s="565"/>
      <c r="SXP260" s="565"/>
      <c r="SXQ260" s="565"/>
      <c r="SXR260" s="565"/>
      <c r="SXS260" s="565"/>
      <c r="SXT260" s="565"/>
      <c r="SXU260" s="565"/>
      <c r="SXV260" s="565"/>
      <c r="SXW260" s="565"/>
      <c r="SXX260" s="565"/>
      <c r="SXY260" s="565"/>
      <c r="SXZ260" s="565"/>
      <c r="SYA260" s="565"/>
      <c r="SYB260" s="565"/>
      <c r="SYC260" s="565"/>
      <c r="SYD260" s="565"/>
      <c r="SYE260" s="565"/>
      <c r="SYF260" s="566"/>
      <c r="SYG260" s="565"/>
      <c r="SYH260" s="565"/>
      <c r="SYI260" s="565"/>
      <c r="SYJ260" s="565"/>
      <c r="SYK260" s="565"/>
      <c r="SYL260" s="565"/>
      <c r="SYM260" s="565"/>
      <c r="SYN260" s="565"/>
      <c r="SYO260" s="565"/>
      <c r="SYP260" s="565"/>
      <c r="SYQ260" s="565"/>
      <c r="SYR260" s="565"/>
      <c r="SYS260" s="565"/>
      <c r="SYT260" s="565"/>
      <c r="SYU260" s="565"/>
      <c r="SYV260" s="565"/>
      <c r="SYW260" s="565"/>
      <c r="SYX260" s="565"/>
      <c r="SYY260" s="565"/>
      <c r="SYZ260" s="566"/>
      <c r="SZA260" s="565"/>
      <c r="SZB260" s="565"/>
      <c r="SZC260" s="565"/>
      <c r="SZD260" s="565"/>
      <c r="SZE260" s="565"/>
      <c r="SZF260" s="565"/>
      <c r="SZG260" s="565"/>
      <c r="SZH260" s="565"/>
      <c r="SZI260" s="565"/>
      <c r="SZJ260" s="565"/>
      <c r="SZK260" s="565"/>
      <c r="SZL260" s="565"/>
      <c r="SZM260" s="565"/>
      <c r="SZN260" s="565"/>
      <c r="SZO260" s="565"/>
      <c r="SZP260" s="565"/>
      <c r="SZQ260" s="565"/>
      <c r="SZR260" s="565"/>
      <c r="SZS260" s="565"/>
      <c r="SZT260" s="566"/>
      <c r="SZU260" s="565"/>
      <c r="SZV260" s="565"/>
      <c r="SZW260" s="565"/>
      <c r="SZX260" s="565"/>
      <c r="SZY260" s="565"/>
      <c r="SZZ260" s="565"/>
      <c r="TAA260" s="565"/>
      <c r="TAB260" s="565"/>
      <c r="TAC260" s="565"/>
      <c r="TAD260" s="565"/>
      <c r="TAE260" s="565"/>
      <c r="TAF260" s="565"/>
      <c r="TAG260" s="565"/>
      <c r="TAH260" s="565"/>
      <c r="TAI260" s="565"/>
      <c r="TAJ260" s="565"/>
      <c r="TAK260" s="565"/>
      <c r="TAL260" s="565"/>
      <c r="TAM260" s="565"/>
      <c r="TAN260" s="566"/>
      <c r="TAO260" s="565"/>
      <c r="TAP260" s="565"/>
      <c r="TAQ260" s="565"/>
      <c r="TAR260" s="565"/>
      <c r="TAS260" s="565"/>
      <c r="TAT260" s="565"/>
      <c r="TAU260" s="565"/>
      <c r="TAV260" s="565"/>
      <c r="TAW260" s="565"/>
      <c r="TAX260" s="565"/>
      <c r="TAY260" s="565"/>
      <c r="TAZ260" s="565"/>
      <c r="TBA260" s="565"/>
      <c r="TBB260" s="565"/>
      <c r="TBC260" s="565"/>
      <c r="TBD260" s="565"/>
      <c r="TBE260" s="565"/>
      <c r="TBF260" s="565"/>
      <c r="TBG260" s="565"/>
      <c r="TBH260" s="566"/>
      <c r="TBI260" s="565"/>
      <c r="TBJ260" s="565"/>
      <c r="TBK260" s="565"/>
      <c r="TBL260" s="565"/>
      <c r="TBM260" s="565"/>
      <c r="TBN260" s="565"/>
      <c r="TBO260" s="565"/>
      <c r="TBP260" s="565"/>
      <c r="TBQ260" s="565"/>
      <c r="TBR260" s="565"/>
      <c r="TBS260" s="565"/>
      <c r="TBT260" s="565"/>
      <c r="TBU260" s="565"/>
      <c r="TBV260" s="565"/>
      <c r="TBW260" s="565"/>
      <c r="TBX260" s="565"/>
      <c r="TBY260" s="565"/>
      <c r="TBZ260" s="565"/>
      <c r="TCA260" s="565"/>
      <c r="TCB260" s="566"/>
      <c r="TCC260" s="565"/>
      <c r="TCD260" s="565"/>
      <c r="TCE260" s="565"/>
      <c r="TCF260" s="565"/>
      <c r="TCG260" s="565"/>
      <c r="TCH260" s="565"/>
      <c r="TCI260" s="565"/>
      <c r="TCJ260" s="565"/>
      <c r="TCK260" s="565"/>
      <c r="TCL260" s="565"/>
      <c r="TCM260" s="565"/>
      <c r="TCN260" s="565"/>
      <c r="TCO260" s="565"/>
      <c r="TCP260" s="565"/>
      <c r="TCQ260" s="565"/>
      <c r="TCR260" s="565"/>
      <c r="TCS260" s="565"/>
      <c r="TCT260" s="565"/>
      <c r="TCU260" s="565"/>
      <c r="TCV260" s="566"/>
      <c r="TCW260" s="565"/>
      <c r="TCX260" s="565"/>
      <c r="TCY260" s="565"/>
      <c r="TCZ260" s="565"/>
      <c r="TDA260" s="565"/>
      <c r="TDB260" s="565"/>
      <c r="TDC260" s="565"/>
      <c r="TDD260" s="565"/>
      <c r="TDE260" s="565"/>
      <c r="TDF260" s="565"/>
      <c r="TDG260" s="565"/>
      <c r="TDH260" s="565"/>
      <c r="TDI260" s="565"/>
      <c r="TDJ260" s="565"/>
      <c r="TDK260" s="565"/>
      <c r="TDL260" s="565"/>
      <c r="TDM260" s="565"/>
      <c r="TDN260" s="565"/>
      <c r="TDO260" s="565"/>
      <c r="TDP260" s="566"/>
      <c r="TDQ260" s="565"/>
      <c r="TDR260" s="565"/>
      <c r="TDS260" s="565"/>
      <c r="TDT260" s="565"/>
      <c r="TDU260" s="565"/>
      <c r="TDV260" s="565"/>
      <c r="TDW260" s="565"/>
      <c r="TDX260" s="565"/>
      <c r="TDY260" s="565"/>
      <c r="TDZ260" s="565"/>
      <c r="TEA260" s="565"/>
      <c r="TEB260" s="565"/>
      <c r="TEC260" s="565"/>
      <c r="TED260" s="565"/>
      <c r="TEE260" s="565"/>
      <c r="TEF260" s="565"/>
      <c r="TEG260" s="565"/>
      <c r="TEH260" s="565"/>
      <c r="TEI260" s="565"/>
      <c r="TEJ260" s="566"/>
      <c r="TEK260" s="565"/>
      <c r="TEL260" s="565"/>
      <c r="TEM260" s="565"/>
      <c r="TEN260" s="565"/>
      <c r="TEO260" s="565"/>
      <c r="TEP260" s="565"/>
      <c r="TEQ260" s="565"/>
      <c r="TER260" s="565"/>
      <c r="TES260" s="565"/>
      <c r="TET260" s="565"/>
      <c r="TEU260" s="565"/>
      <c r="TEV260" s="565"/>
      <c r="TEW260" s="565"/>
      <c r="TEX260" s="565"/>
      <c r="TEY260" s="565"/>
      <c r="TEZ260" s="565"/>
      <c r="TFA260" s="565"/>
      <c r="TFB260" s="565"/>
      <c r="TFC260" s="565"/>
      <c r="TFD260" s="566"/>
      <c r="TFE260" s="565"/>
      <c r="TFF260" s="565"/>
      <c r="TFG260" s="565"/>
      <c r="TFH260" s="565"/>
      <c r="TFI260" s="565"/>
      <c r="TFJ260" s="565"/>
      <c r="TFK260" s="565"/>
      <c r="TFL260" s="565"/>
      <c r="TFM260" s="565"/>
      <c r="TFN260" s="565"/>
      <c r="TFO260" s="565"/>
      <c r="TFP260" s="565"/>
      <c r="TFQ260" s="565"/>
      <c r="TFR260" s="565"/>
      <c r="TFS260" s="565"/>
      <c r="TFT260" s="565"/>
      <c r="TFU260" s="565"/>
      <c r="TFV260" s="565"/>
      <c r="TFW260" s="565"/>
      <c r="TFX260" s="566"/>
      <c r="TFY260" s="565"/>
      <c r="TFZ260" s="565"/>
      <c r="TGA260" s="565"/>
      <c r="TGB260" s="565"/>
      <c r="TGC260" s="565"/>
      <c r="TGD260" s="565"/>
      <c r="TGE260" s="565"/>
      <c r="TGF260" s="565"/>
      <c r="TGG260" s="565"/>
      <c r="TGH260" s="565"/>
      <c r="TGI260" s="565"/>
      <c r="TGJ260" s="565"/>
      <c r="TGK260" s="565"/>
      <c r="TGL260" s="565"/>
      <c r="TGM260" s="565"/>
      <c r="TGN260" s="565"/>
      <c r="TGO260" s="565"/>
      <c r="TGP260" s="565"/>
      <c r="TGQ260" s="565"/>
      <c r="TGR260" s="566"/>
      <c r="TGS260" s="565"/>
      <c r="TGT260" s="565"/>
      <c r="TGU260" s="565"/>
      <c r="TGV260" s="565"/>
      <c r="TGW260" s="565"/>
      <c r="TGX260" s="565"/>
      <c r="TGY260" s="565"/>
      <c r="TGZ260" s="565"/>
      <c r="THA260" s="565"/>
      <c r="THB260" s="565"/>
      <c r="THC260" s="565"/>
      <c r="THD260" s="565"/>
      <c r="THE260" s="565"/>
      <c r="THF260" s="565"/>
      <c r="THG260" s="565"/>
      <c r="THH260" s="565"/>
      <c r="THI260" s="565"/>
      <c r="THJ260" s="565"/>
      <c r="THK260" s="565"/>
      <c r="THL260" s="566"/>
      <c r="THM260" s="565"/>
      <c r="THN260" s="565"/>
      <c r="THO260" s="565"/>
      <c r="THP260" s="565"/>
      <c r="THQ260" s="565"/>
      <c r="THR260" s="565"/>
      <c r="THS260" s="565"/>
      <c r="THT260" s="565"/>
      <c r="THU260" s="565"/>
      <c r="THV260" s="565"/>
      <c r="THW260" s="565"/>
      <c r="THX260" s="565"/>
      <c r="THY260" s="565"/>
      <c r="THZ260" s="565"/>
      <c r="TIA260" s="565"/>
      <c r="TIB260" s="565"/>
      <c r="TIC260" s="565"/>
      <c r="TID260" s="565"/>
      <c r="TIE260" s="565"/>
      <c r="TIF260" s="566"/>
      <c r="TIG260" s="565"/>
      <c r="TIH260" s="565"/>
      <c r="TII260" s="565"/>
      <c r="TIJ260" s="565"/>
      <c r="TIK260" s="565"/>
      <c r="TIL260" s="565"/>
      <c r="TIM260" s="565"/>
      <c r="TIN260" s="565"/>
      <c r="TIO260" s="565"/>
      <c r="TIP260" s="565"/>
      <c r="TIQ260" s="565"/>
      <c r="TIR260" s="565"/>
      <c r="TIS260" s="565"/>
      <c r="TIT260" s="565"/>
      <c r="TIU260" s="565"/>
      <c r="TIV260" s="565"/>
      <c r="TIW260" s="565"/>
      <c r="TIX260" s="565"/>
      <c r="TIY260" s="565"/>
      <c r="TIZ260" s="566"/>
      <c r="TJA260" s="565"/>
      <c r="TJB260" s="565"/>
      <c r="TJC260" s="565"/>
      <c r="TJD260" s="565"/>
      <c r="TJE260" s="565"/>
      <c r="TJF260" s="565"/>
      <c r="TJG260" s="565"/>
      <c r="TJH260" s="565"/>
      <c r="TJI260" s="565"/>
      <c r="TJJ260" s="565"/>
      <c r="TJK260" s="565"/>
      <c r="TJL260" s="565"/>
      <c r="TJM260" s="565"/>
      <c r="TJN260" s="565"/>
      <c r="TJO260" s="565"/>
      <c r="TJP260" s="565"/>
      <c r="TJQ260" s="565"/>
      <c r="TJR260" s="565"/>
      <c r="TJS260" s="565"/>
      <c r="TJT260" s="566"/>
      <c r="TJU260" s="565"/>
      <c r="TJV260" s="565"/>
      <c r="TJW260" s="565"/>
      <c r="TJX260" s="565"/>
      <c r="TJY260" s="565"/>
      <c r="TJZ260" s="565"/>
      <c r="TKA260" s="565"/>
      <c r="TKB260" s="565"/>
      <c r="TKC260" s="565"/>
      <c r="TKD260" s="565"/>
      <c r="TKE260" s="565"/>
      <c r="TKF260" s="565"/>
      <c r="TKG260" s="565"/>
      <c r="TKH260" s="565"/>
      <c r="TKI260" s="565"/>
      <c r="TKJ260" s="565"/>
      <c r="TKK260" s="565"/>
      <c r="TKL260" s="565"/>
      <c r="TKM260" s="565"/>
      <c r="TKN260" s="566"/>
      <c r="TKO260" s="565"/>
      <c r="TKP260" s="565"/>
      <c r="TKQ260" s="565"/>
      <c r="TKR260" s="565"/>
      <c r="TKS260" s="565"/>
      <c r="TKT260" s="565"/>
      <c r="TKU260" s="565"/>
      <c r="TKV260" s="565"/>
      <c r="TKW260" s="565"/>
      <c r="TKX260" s="565"/>
      <c r="TKY260" s="565"/>
      <c r="TKZ260" s="565"/>
      <c r="TLA260" s="565"/>
      <c r="TLB260" s="565"/>
      <c r="TLC260" s="565"/>
      <c r="TLD260" s="565"/>
      <c r="TLE260" s="565"/>
      <c r="TLF260" s="565"/>
      <c r="TLG260" s="565"/>
      <c r="TLH260" s="566"/>
      <c r="TLI260" s="565"/>
      <c r="TLJ260" s="565"/>
      <c r="TLK260" s="565"/>
      <c r="TLL260" s="565"/>
      <c r="TLM260" s="565"/>
      <c r="TLN260" s="565"/>
      <c r="TLO260" s="565"/>
      <c r="TLP260" s="565"/>
      <c r="TLQ260" s="565"/>
      <c r="TLR260" s="565"/>
      <c r="TLS260" s="565"/>
      <c r="TLT260" s="565"/>
      <c r="TLU260" s="565"/>
      <c r="TLV260" s="565"/>
      <c r="TLW260" s="565"/>
      <c r="TLX260" s="565"/>
      <c r="TLY260" s="565"/>
      <c r="TLZ260" s="565"/>
      <c r="TMA260" s="565"/>
      <c r="TMB260" s="566"/>
      <c r="TMC260" s="565"/>
      <c r="TMD260" s="565"/>
      <c r="TME260" s="565"/>
      <c r="TMF260" s="565"/>
      <c r="TMG260" s="565"/>
      <c r="TMH260" s="565"/>
      <c r="TMI260" s="565"/>
      <c r="TMJ260" s="565"/>
      <c r="TMK260" s="565"/>
      <c r="TML260" s="565"/>
      <c r="TMM260" s="565"/>
      <c r="TMN260" s="565"/>
      <c r="TMO260" s="565"/>
      <c r="TMP260" s="565"/>
      <c r="TMQ260" s="565"/>
      <c r="TMR260" s="565"/>
      <c r="TMS260" s="565"/>
      <c r="TMT260" s="565"/>
      <c r="TMU260" s="565"/>
      <c r="TMV260" s="566"/>
      <c r="TMW260" s="565"/>
      <c r="TMX260" s="565"/>
      <c r="TMY260" s="565"/>
      <c r="TMZ260" s="565"/>
      <c r="TNA260" s="565"/>
      <c r="TNB260" s="565"/>
      <c r="TNC260" s="565"/>
      <c r="TND260" s="565"/>
      <c r="TNE260" s="565"/>
      <c r="TNF260" s="565"/>
      <c r="TNG260" s="565"/>
      <c r="TNH260" s="565"/>
      <c r="TNI260" s="565"/>
      <c r="TNJ260" s="565"/>
      <c r="TNK260" s="565"/>
      <c r="TNL260" s="565"/>
      <c r="TNM260" s="565"/>
      <c r="TNN260" s="565"/>
      <c r="TNO260" s="565"/>
      <c r="TNP260" s="566"/>
      <c r="TNQ260" s="565"/>
      <c r="TNR260" s="565"/>
      <c r="TNS260" s="565"/>
      <c r="TNT260" s="565"/>
      <c r="TNU260" s="565"/>
      <c r="TNV260" s="565"/>
      <c r="TNW260" s="565"/>
      <c r="TNX260" s="565"/>
      <c r="TNY260" s="565"/>
      <c r="TNZ260" s="565"/>
      <c r="TOA260" s="565"/>
      <c r="TOB260" s="565"/>
      <c r="TOC260" s="565"/>
      <c r="TOD260" s="565"/>
      <c r="TOE260" s="565"/>
      <c r="TOF260" s="565"/>
      <c r="TOG260" s="565"/>
      <c r="TOH260" s="565"/>
      <c r="TOI260" s="565"/>
      <c r="TOJ260" s="566"/>
      <c r="TOK260" s="565"/>
      <c r="TOL260" s="565"/>
      <c r="TOM260" s="565"/>
      <c r="TON260" s="565"/>
      <c r="TOO260" s="565"/>
      <c r="TOP260" s="565"/>
      <c r="TOQ260" s="565"/>
      <c r="TOR260" s="565"/>
      <c r="TOS260" s="565"/>
      <c r="TOT260" s="565"/>
      <c r="TOU260" s="565"/>
      <c r="TOV260" s="565"/>
      <c r="TOW260" s="565"/>
      <c r="TOX260" s="565"/>
      <c r="TOY260" s="565"/>
      <c r="TOZ260" s="565"/>
      <c r="TPA260" s="565"/>
      <c r="TPB260" s="565"/>
      <c r="TPC260" s="565"/>
      <c r="TPD260" s="566"/>
      <c r="TPE260" s="565"/>
      <c r="TPF260" s="565"/>
      <c r="TPG260" s="565"/>
      <c r="TPH260" s="565"/>
      <c r="TPI260" s="565"/>
      <c r="TPJ260" s="565"/>
      <c r="TPK260" s="565"/>
      <c r="TPL260" s="565"/>
      <c r="TPM260" s="565"/>
      <c r="TPN260" s="565"/>
      <c r="TPO260" s="565"/>
      <c r="TPP260" s="565"/>
      <c r="TPQ260" s="565"/>
      <c r="TPR260" s="565"/>
      <c r="TPS260" s="565"/>
      <c r="TPT260" s="565"/>
      <c r="TPU260" s="565"/>
      <c r="TPV260" s="565"/>
      <c r="TPW260" s="565"/>
      <c r="TPX260" s="566"/>
      <c r="TPY260" s="565"/>
      <c r="TPZ260" s="565"/>
      <c r="TQA260" s="565"/>
      <c r="TQB260" s="565"/>
      <c r="TQC260" s="565"/>
      <c r="TQD260" s="565"/>
      <c r="TQE260" s="565"/>
      <c r="TQF260" s="565"/>
      <c r="TQG260" s="565"/>
      <c r="TQH260" s="565"/>
      <c r="TQI260" s="565"/>
      <c r="TQJ260" s="565"/>
      <c r="TQK260" s="565"/>
      <c r="TQL260" s="565"/>
      <c r="TQM260" s="565"/>
      <c r="TQN260" s="565"/>
      <c r="TQO260" s="565"/>
      <c r="TQP260" s="565"/>
      <c r="TQQ260" s="565"/>
      <c r="TQR260" s="566"/>
      <c r="TQS260" s="565"/>
      <c r="TQT260" s="565"/>
      <c r="TQU260" s="565"/>
      <c r="TQV260" s="565"/>
      <c r="TQW260" s="565"/>
      <c r="TQX260" s="565"/>
      <c r="TQY260" s="565"/>
      <c r="TQZ260" s="565"/>
      <c r="TRA260" s="565"/>
      <c r="TRB260" s="565"/>
      <c r="TRC260" s="565"/>
      <c r="TRD260" s="565"/>
      <c r="TRE260" s="565"/>
      <c r="TRF260" s="565"/>
      <c r="TRG260" s="565"/>
      <c r="TRH260" s="565"/>
      <c r="TRI260" s="565"/>
      <c r="TRJ260" s="565"/>
      <c r="TRK260" s="565"/>
      <c r="TRL260" s="566"/>
      <c r="TRM260" s="565"/>
      <c r="TRN260" s="565"/>
      <c r="TRO260" s="565"/>
      <c r="TRP260" s="565"/>
      <c r="TRQ260" s="565"/>
      <c r="TRR260" s="565"/>
      <c r="TRS260" s="565"/>
      <c r="TRT260" s="565"/>
      <c r="TRU260" s="565"/>
      <c r="TRV260" s="565"/>
      <c r="TRW260" s="565"/>
      <c r="TRX260" s="565"/>
      <c r="TRY260" s="565"/>
      <c r="TRZ260" s="565"/>
      <c r="TSA260" s="565"/>
      <c r="TSB260" s="565"/>
      <c r="TSC260" s="565"/>
      <c r="TSD260" s="565"/>
      <c r="TSE260" s="565"/>
      <c r="TSF260" s="566"/>
      <c r="TSG260" s="565"/>
      <c r="TSH260" s="565"/>
      <c r="TSI260" s="565"/>
      <c r="TSJ260" s="565"/>
      <c r="TSK260" s="565"/>
      <c r="TSL260" s="565"/>
      <c r="TSM260" s="565"/>
      <c r="TSN260" s="565"/>
      <c r="TSO260" s="565"/>
      <c r="TSP260" s="565"/>
      <c r="TSQ260" s="565"/>
      <c r="TSR260" s="565"/>
      <c r="TSS260" s="565"/>
      <c r="TST260" s="565"/>
      <c r="TSU260" s="565"/>
      <c r="TSV260" s="565"/>
      <c r="TSW260" s="565"/>
      <c r="TSX260" s="565"/>
      <c r="TSY260" s="565"/>
      <c r="TSZ260" s="566"/>
      <c r="TTA260" s="565"/>
      <c r="TTB260" s="565"/>
      <c r="TTC260" s="565"/>
      <c r="TTD260" s="565"/>
      <c r="TTE260" s="565"/>
      <c r="TTF260" s="565"/>
      <c r="TTG260" s="565"/>
      <c r="TTH260" s="565"/>
      <c r="TTI260" s="565"/>
      <c r="TTJ260" s="565"/>
      <c r="TTK260" s="565"/>
      <c r="TTL260" s="565"/>
      <c r="TTM260" s="565"/>
      <c r="TTN260" s="565"/>
      <c r="TTO260" s="565"/>
      <c r="TTP260" s="565"/>
      <c r="TTQ260" s="565"/>
      <c r="TTR260" s="565"/>
      <c r="TTS260" s="565"/>
      <c r="TTT260" s="566"/>
      <c r="TTU260" s="565"/>
      <c r="TTV260" s="565"/>
      <c r="TTW260" s="565"/>
      <c r="TTX260" s="565"/>
      <c r="TTY260" s="565"/>
      <c r="TTZ260" s="565"/>
      <c r="TUA260" s="565"/>
      <c r="TUB260" s="565"/>
      <c r="TUC260" s="565"/>
      <c r="TUD260" s="565"/>
      <c r="TUE260" s="565"/>
      <c r="TUF260" s="565"/>
      <c r="TUG260" s="565"/>
      <c r="TUH260" s="565"/>
      <c r="TUI260" s="565"/>
      <c r="TUJ260" s="565"/>
      <c r="TUK260" s="565"/>
      <c r="TUL260" s="565"/>
      <c r="TUM260" s="565"/>
      <c r="TUN260" s="566"/>
      <c r="TUO260" s="565"/>
      <c r="TUP260" s="565"/>
      <c r="TUQ260" s="565"/>
      <c r="TUR260" s="565"/>
      <c r="TUS260" s="565"/>
      <c r="TUT260" s="565"/>
      <c r="TUU260" s="565"/>
      <c r="TUV260" s="565"/>
      <c r="TUW260" s="565"/>
      <c r="TUX260" s="565"/>
      <c r="TUY260" s="565"/>
      <c r="TUZ260" s="565"/>
      <c r="TVA260" s="565"/>
      <c r="TVB260" s="565"/>
      <c r="TVC260" s="565"/>
      <c r="TVD260" s="565"/>
      <c r="TVE260" s="565"/>
      <c r="TVF260" s="565"/>
      <c r="TVG260" s="565"/>
      <c r="TVH260" s="566"/>
      <c r="TVI260" s="565"/>
      <c r="TVJ260" s="565"/>
      <c r="TVK260" s="565"/>
      <c r="TVL260" s="565"/>
      <c r="TVM260" s="565"/>
      <c r="TVN260" s="565"/>
      <c r="TVO260" s="565"/>
      <c r="TVP260" s="565"/>
      <c r="TVQ260" s="565"/>
      <c r="TVR260" s="565"/>
      <c r="TVS260" s="565"/>
      <c r="TVT260" s="565"/>
      <c r="TVU260" s="565"/>
      <c r="TVV260" s="565"/>
      <c r="TVW260" s="565"/>
      <c r="TVX260" s="565"/>
      <c r="TVY260" s="565"/>
      <c r="TVZ260" s="565"/>
      <c r="TWA260" s="565"/>
      <c r="TWB260" s="566"/>
      <c r="TWC260" s="565"/>
      <c r="TWD260" s="565"/>
      <c r="TWE260" s="565"/>
      <c r="TWF260" s="565"/>
      <c r="TWG260" s="565"/>
      <c r="TWH260" s="565"/>
      <c r="TWI260" s="565"/>
      <c r="TWJ260" s="565"/>
      <c r="TWK260" s="565"/>
      <c r="TWL260" s="565"/>
      <c r="TWM260" s="565"/>
      <c r="TWN260" s="565"/>
      <c r="TWO260" s="565"/>
      <c r="TWP260" s="565"/>
      <c r="TWQ260" s="565"/>
      <c r="TWR260" s="565"/>
      <c r="TWS260" s="565"/>
      <c r="TWT260" s="565"/>
      <c r="TWU260" s="565"/>
      <c r="TWV260" s="566"/>
      <c r="TWW260" s="565"/>
      <c r="TWX260" s="565"/>
      <c r="TWY260" s="565"/>
      <c r="TWZ260" s="565"/>
      <c r="TXA260" s="565"/>
      <c r="TXB260" s="565"/>
      <c r="TXC260" s="565"/>
      <c r="TXD260" s="565"/>
      <c r="TXE260" s="565"/>
      <c r="TXF260" s="565"/>
      <c r="TXG260" s="565"/>
      <c r="TXH260" s="565"/>
      <c r="TXI260" s="565"/>
      <c r="TXJ260" s="565"/>
      <c r="TXK260" s="565"/>
      <c r="TXL260" s="565"/>
      <c r="TXM260" s="565"/>
      <c r="TXN260" s="565"/>
      <c r="TXO260" s="565"/>
      <c r="TXP260" s="566"/>
      <c r="TXQ260" s="565"/>
      <c r="TXR260" s="565"/>
      <c r="TXS260" s="565"/>
      <c r="TXT260" s="565"/>
      <c r="TXU260" s="565"/>
      <c r="TXV260" s="565"/>
      <c r="TXW260" s="565"/>
      <c r="TXX260" s="565"/>
      <c r="TXY260" s="565"/>
      <c r="TXZ260" s="565"/>
      <c r="TYA260" s="565"/>
      <c r="TYB260" s="565"/>
      <c r="TYC260" s="565"/>
      <c r="TYD260" s="565"/>
      <c r="TYE260" s="565"/>
      <c r="TYF260" s="565"/>
      <c r="TYG260" s="565"/>
      <c r="TYH260" s="565"/>
      <c r="TYI260" s="565"/>
      <c r="TYJ260" s="566"/>
      <c r="TYK260" s="565"/>
      <c r="TYL260" s="565"/>
      <c r="TYM260" s="565"/>
      <c r="TYN260" s="565"/>
      <c r="TYO260" s="565"/>
      <c r="TYP260" s="565"/>
      <c r="TYQ260" s="565"/>
      <c r="TYR260" s="565"/>
      <c r="TYS260" s="565"/>
      <c r="TYT260" s="565"/>
      <c r="TYU260" s="565"/>
      <c r="TYV260" s="565"/>
      <c r="TYW260" s="565"/>
      <c r="TYX260" s="565"/>
      <c r="TYY260" s="565"/>
      <c r="TYZ260" s="565"/>
      <c r="TZA260" s="565"/>
      <c r="TZB260" s="565"/>
      <c r="TZC260" s="565"/>
      <c r="TZD260" s="566"/>
      <c r="TZE260" s="565"/>
      <c r="TZF260" s="565"/>
      <c r="TZG260" s="565"/>
      <c r="TZH260" s="565"/>
      <c r="TZI260" s="565"/>
      <c r="TZJ260" s="565"/>
      <c r="TZK260" s="565"/>
      <c r="TZL260" s="565"/>
      <c r="TZM260" s="565"/>
      <c r="TZN260" s="565"/>
      <c r="TZO260" s="565"/>
      <c r="TZP260" s="565"/>
      <c r="TZQ260" s="565"/>
      <c r="TZR260" s="565"/>
      <c r="TZS260" s="565"/>
      <c r="TZT260" s="565"/>
      <c r="TZU260" s="565"/>
      <c r="TZV260" s="565"/>
      <c r="TZW260" s="565"/>
      <c r="TZX260" s="566"/>
      <c r="TZY260" s="565"/>
      <c r="TZZ260" s="565"/>
      <c r="UAA260" s="565"/>
      <c r="UAB260" s="565"/>
      <c r="UAC260" s="565"/>
      <c r="UAD260" s="565"/>
      <c r="UAE260" s="565"/>
      <c r="UAF260" s="565"/>
      <c r="UAG260" s="565"/>
      <c r="UAH260" s="565"/>
      <c r="UAI260" s="565"/>
      <c r="UAJ260" s="565"/>
      <c r="UAK260" s="565"/>
      <c r="UAL260" s="565"/>
      <c r="UAM260" s="565"/>
      <c r="UAN260" s="565"/>
      <c r="UAO260" s="565"/>
      <c r="UAP260" s="565"/>
      <c r="UAQ260" s="565"/>
      <c r="UAR260" s="566"/>
      <c r="UAS260" s="565"/>
      <c r="UAT260" s="565"/>
      <c r="UAU260" s="565"/>
      <c r="UAV260" s="565"/>
      <c r="UAW260" s="565"/>
      <c r="UAX260" s="565"/>
      <c r="UAY260" s="565"/>
      <c r="UAZ260" s="565"/>
      <c r="UBA260" s="565"/>
      <c r="UBB260" s="565"/>
      <c r="UBC260" s="565"/>
      <c r="UBD260" s="565"/>
      <c r="UBE260" s="565"/>
      <c r="UBF260" s="565"/>
      <c r="UBG260" s="565"/>
      <c r="UBH260" s="565"/>
      <c r="UBI260" s="565"/>
      <c r="UBJ260" s="565"/>
      <c r="UBK260" s="565"/>
      <c r="UBL260" s="566"/>
      <c r="UBM260" s="565"/>
      <c r="UBN260" s="565"/>
      <c r="UBO260" s="565"/>
      <c r="UBP260" s="565"/>
      <c r="UBQ260" s="565"/>
      <c r="UBR260" s="565"/>
      <c r="UBS260" s="565"/>
      <c r="UBT260" s="565"/>
      <c r="UBU260" s="565"/>
      <c r="UBV260" s="565"/>
      <c r="UBW260" s="565"/>
      <c r="UBX260" s="565"/>
      <c r="UBY260" s="565"/>
      <c r="UBZ260" s="565"/>
      <c r="UCA260" s="565"/>
      <c r="UCB260" s="565"/>
      <c r="UCC260" s="565"/>
      <c r="UCD260" s="565"/>
      <c r="UCE260" s="565"/>
      <c r="UCF260" s="566"/>
      <c r="UCG260" s="565"/>
      <c r="UCH260" s="565"/>
      <c r="UCI260" s="565"/>
      <c r="UCJ260" s="565"/>
      <c r="UCK260" s="565"/>
      <c r="UCL260" s="565"/>
      <c r="UCM260" s="565"/>
      <c r="UCN260" s="565"/>
      <c r="UCO260" s="565"/>
      <c r="UCP260" s="565"/>
      <c r="UCQ260" s="565"/>
      <c r="UCR260" s="565"/>
      <c r="UCS260" s="565"/>
      <c r="UCT260" s="565"/>
      <c r="UCU260" s="565"/>
      <c r="UCV260" s="565"/>
      <c r="UCW260" s="565"/>
      <c r="UCX260" s="565"/>
      <c r="UCY260" s="565"/>
      <c r="UCZ260" s="566"/>
      <c r="UDA260" s="565"/>
      <c r="UDB260" s="565"/>
      <c r="UDC260" s="565"/>
      <c r="UDD260" s="565"/>
      <c r="UDE260" s="565"/>
      <c r="UDF260" s="565"/>
      <c r="UDG260" s="565"/>
      <c r="UDH260" s="565"/>
      <c r="UDI260" s="565"/>
      <c r="UDJ260" s="565"/>
      <c r="UDK260" s="565"/>
      <c r="UDL260" s="565"/>
      <c r="UDM260" s="565"/>
      <c r="UDN260" s="565"/>
      <c r="UDO260" s="565"/>
      <c r="UDP260" s="565"/>
      <c r="UDQ260" s="565"/>
      <c r="UDR260" s="565"/>
      <c r="UDS260" s="565"/>
      <c r="UDT260" s="566"/>
      <c r="UDU260" s="565"/>
      <c r="UDV260" s="565"/>
      <c r="UDW260" s="565"/>
      <c r="UDX260" s="565"/>
      <c r="UDY260" s="565"/>
      <c r="UDZ260" s="565"/>
      <c r="UEA260" s="565"/>
      <c r="UEB260" s="565"/>
      <c r="UEC260" s="565"/>
      <c r="UED260" s="565"/>
      <c r="UEE260" s="565"/>
      <c r="UEF260" s="565"/>
      <c r="UEG260" s="565"/>
      <c r="UEH260" s="565"/>
      <c r="UEI260" s="565"/>
      <c r="UEJ260" s="565"/>
      <c r="UEK260" s="565"/>
      <c r="UEL260" s="565"/>
      <c r="UEM260" s="565"/>
      <c r="UEN260" s="566"/>
      <c r="UEO260" s="565"/>
      <c r="UEP260" s="565"/>
      <c r="UEQ260" s="565"/>
      <c r="UER260" s="565"/>
      <c r="UES260" s="565"/>
      <c r="UET260" s="565"/>
      <c r="UEU260" s="565"/>
      <c r="UEV260" s="565"/>
      <c r="UEW260" s="565"/>
      <c r="UEX260" s="565"/>
      <c r="UEY260" s="565"/>
      <c r="UEZ260" s="565"/>
      <c r="UFA260" s="565"/>
      <c r="UFB260" s="565"/>
      <c r="UFC260" s="565"/>
      <c r="UFD260" s="565"/>
      <c r="UFE260" s="565"/>
      <c r="UFF260" s="565"/>
      <c r="UFG260" s="565"/>
      <c r="UFH260" s="566"/>
      <c r="UFI260" s="565"/>
      <c r="UFJ260" s="565"/>
      <c r="UFK260" s="565"/>
      <c r="UFL260" s="565"/>
      <c r="UFM260" s="565"/>
      <c r="UFN260" s="565"/>
      <c r="UFO260" s="565"/>
      <c r="UFP260" s="565"/>
      <c r="UFQ260" s="565"/>
      <c r="UFR260" s="565"/>
      <c r="UFS260" s="565"/>
      <c r="UFT260" s="565"/>
      <c r="UFU260" s="565"/>
      <c r="UFV260" s="565"/>
      <c r="UFW260" s="565"/>
      <c r="UFX260" s="565"/>
      <c r="UFY260" s="565"/>
      <c r="UFZ260" s="565"/>
      <c r="UGA260" s="565"/>
      <c r="UGB260" s="566"/>
      <c r="UGC260" s="565"/>
      <c r="UGD260" s="565"/>
      <c r="UGE260" s="565"/>
      <c r="UGF260" s="565"/>
      <c r="UGG260" s="565"/>
      <c r="UGH260" s="565"/>
      <c r="UGI260" s="565"/>
      <c r="UGJ260" s="565"/>
      <c r="UGK260" s="565"/>
      <c r="UGL260" s="565"/>
      <c r="UGM260" s="565"/>
      <c r="UGN260" s="565"/>
      <c r="UGO260" s="565"/>
      <c r="UGP260" s="565"/>
      <c r="UGQ260" s="565"/>
      <c r="UGR260" s="565"/>
      <c r="UGS260" s="565"/>
      <c r="UGT260" s="565"/>
      <c r="UGU260" s="565"/>
      <c r="UGV260" s="566"/>
      <c r="UGW260" s="565"/>
      <c r="UGX260" s="565"/>
      <c r="UGY260" s="565"/>
      <c r="UGZ260" s="565"/>
      <c r="UHA260" s="565"/>
      <c r="UHB260" s="565"/>
      <c r="UHC260" s="565"/>
      <c r="UHD260" s="565"/>
      <c r="UHE260" s="565"/>
      <c r="UHF260" s="565"/>
      <c r="UHG260" s="565"/>
      <c r="UHH260" s="565"/>
      <c r="UHI260" s="565"/>
      <c r="UHJ260" s="565"/>
      <c r="UHK260" s="565"/>
      <c r="UHL260" s="565"/>
      <c r="UHM260" s="565"/>
      <c r="UHN260" s="565"/>
      <c r="UHO260" s="565"/>
      <c r="UHP260" s="566"/>
      <c r="UHQ260" s="565"/>
      <c r="UHR260" s="565"/>
      <c r="UHS260" s="565"/>
      <c r="UHT260" s="565"/>
      <c r="UHU260" s="565"/>
      <c r="UHV260" s="565"/>
      <c r="UHW260" s="565"/>
      <c r="UHX260" s="565"/>
      <c r="UHY260" s="565"/>
      <c r="UHZ260" s="565"/>
      <c r="UIA260" s="565"/>
      <c r="UIB260" s="565"/>
      <c r="UIC260" s="565"/>
      <c r="UID260" s="565"/>
      <c r="UIE260" s="565"/>
      <c r="UIF260" s="565"/>
      <c r="UIG260" s="565"/>
      <c r="UIH260" s="565"/>
      <c r="UII260" s="565"/>
      <c r="UIJ260" s="566"/>
      <c r="UIK260" s="565"/>
      <c r="UIL260" s="565"/>
      <c r="UIM260" s="565"/>
      <c r="UIN260" s="565"/>
      <c r="UIO260" s="565"/>
      <c r="UIP260" s="565"/>
      <c r="UIQ260" s="565"/>
      <c r="UIR260" s="565"/>
      <c r="UIS260" s="565"/>
      <c r="UIT260" s="565"/>
      <c r="UIU260" s="565"/>
      <c r="UIV260" s="565"/>
      <c r="UIW260" s="565"/>
      <c r="UIX260" s="565"/>
      <c r="UIY260" s="565"/>
      <c r="UIZ260" s="565"/>
      <c r="UJA260" s="565"/>
      <c r="UJB260" s="565"/>
      <c r="UJC260" s="565"/>
      <c r="UJD260" s="566"/>
      <c r="UJE260" s="565"/>
      <c r="UJF260" s="565"/>
      <c r="UJG260" s="565"/>
      <c r="UJH260" s="565"/>
      <c r="UJI260" s="565"/>
      <c r="UJJ260" s="565"/>
      <c r="UJK260" s="565"/>
      <c r="UJL260" s="565"/>
      <c r="UJM260" s="565"/>
      <c r="UJN260" s="565"/>
      <c r="UJO260" s="565"/>
      <c r="UJP260" s="565"/>
      <c r="UJQ260" s="565"/>
      <c r="UJR260" s="565"/>
      <c r="UJS260" s="565"/>
      <c r="UJT260" s="565"/>
      <c r="UJU260" s="565"/>
      <c r="UJV260" s="565"/>
      <c r="UJW260" s="565"/>
      <c r="UJX260" s="566"/>
      <c r="UJY260" s="565"/>
      <c r="UJZ260" s="565"/>
      <c r="UKA260" s="565"/>
      <c r="UKB260" s="565"/>
      <c r="UKC260" s="565"/>
      <c r="UKD260" s="565"/>
      <c r="UKE260" s="565"/>
      <c r="UKF260" s="565"/>
      <c r="UKG260" s="565"/>
      <c r="UKH260" s="565"/>
      <c r="UKI260" s="565"/>
      <c r="UKJ260" s="565"/>
      <c r="UKK260" s="565"/>
      <c r="UKL260" s="565"/>
      <c r="UKM260" s="565"/>
      <c r="UKN260" s="565"/>
      <c r="UKO260" s="565"/>
      <c r="UKP260" s="565"/>
      <c r="UKQ260" s="565"/>
      <c r="UKR260" s="566"/>
      <c r="UKS260" s="565"/>
      <c r="UKT260" s="565"/>
      <c r="UKU260" s="565"/>
      <c r="UKV260" s="565"/>
      <c r="UKW260" s="565"/>
      <c r="UKX260" s="565"/>
      <c r="UKY260" s="565"/>
      <c r="UKZ260" s="565"/>
      <c r="ULA260" s="565"/>
      <c r="ULB260" s="565"/>
      <c r="ULC260" s="565"/>
      <c r="ULD260" s="565"/>
      <c r="ULE260" s="565"/>
      <c r="ULF260" s="565"/>
      <c r="ULG260" s="565"/>
      <c r="ULH260" s="565"/>
      <c r="ULI260" s="565"/>
      <c r="ULJ260" s="565"/>
      <c r="ULK260" s="565"/>
      <c r="ULL260" s="566"/>
      <c r="ULM260" s="565"/>
      <c r="ULN260" s="565"/>
      <c r="ULO260" s="565"/>
      <c r="ULP260" s="565"/>
      <c r="ULQ260" s="565"/>
      <c r="ULR260" s="565"/>
      <c r="ULS260" s="565"/>
      <c r="ULT260" s="565"/>
      <c r="ULU260" s="565"/>
      <c r="ULV260" s="565"/>
      <c r="ULW260" s="565"/>
      <c r="ULX260" s="565"/>
      <c r="ULY260" s="565"/>
      <c r="ULZ260" s="565"/>
      <c r="UMA260" s="565"/>
      <c r="UMB260" s="565"/>
      <c r="UMC260" s="565"/>
      <c r="UMD260" s="565"/>
      <c r="UME260" s="565"/>
      <c r="UMF260" s="566"/>
      <c r="UMG260" s="565"/>
      <c r="UMH260" s="565"/>
      <c r="UMI260" s="565"/>
      <c r="UMJ260" s="565"/>
      <c r="UMK260" s="565"/>
      <c r="UML260" s="565"/>
      <c r="UMM260" s="565"/>
      <c r="UMN260" s="565"/>
      <c r="UMO260" s="565"/>
      <c r="UMP260" s="565"/>
      <c r="UMQ260" s="565"/>
      <c r="UMR260" s="565"/>
      <c r="UMS260" s="565"/>
      <c r="UMT260" s="565"/>
      <c r="UMU260" s="565"/>
      <c r="UMV260" s="565"/>
      <c r="UMW260" s="565"/>
      <c r="UMX260" s="565"/>
      <c r="UMY260" s="565"/>
      <c r="UMZ260" s="566"/>
      <c r="UNA260" s="565"/>
      <c r="UNB260" s="565"/>
      <c r="UNC260" s="565"/>
      <c r="UND260" s="565"/>
      <c r="UNE260" s="565"/>
      <c r="UNF260" s="565"/>
      <c r="UNG260" s="565"/>
      <c r="UNH260" s="565"/>
      <c r="UNI260" s="565"/>
      <c r="UNJ260" s="565"/>
      <c r="UNK260" s="565"/>
      <c r="UNL260" s="565"/>
      <c r="UNM260" s="565"/>
      <c r="UNN260" s="565"/>
      <c r="UNO260" s="565"/>
      <c r="UNP260" s="565"/>
      <c r="UNQ260" s="565"/>
      <c r="UNR260" s="565"/>
      <c r="UNS260" s="565"/>
      <c r="UNT260" s="566"/>
      <c r="UNU260" s="565"/>
      <c r="UNV260" s="565"/>
      <c r="UNW260" s="565"/>
      <c r="UNX260" s="565"/>
      <c r="UNY260" s="565"/>
      <c r="UNZ260" s="565"/>
      <c r="UOA260" s="565"/>
      <c r="UOB260" s="565"/>
      <c r="UOC260" s="565"/>
      <c r="UOD260" s="565"/>
      <c r="UOE260" s="565"/>
      <c r="UOF260" s="565"/>
      <c r="UOG260" s="565"/>
      <c r="UOH260" s="565"/>
      <c r="UOI260" s="565"/>
      <c r="UOJ260" s="565"/>
      <c r="UOK260" s="565"/>
      <c r="UOL260" s="565"/>
      <c r="UOM260" s="565"/>
      <c r="UON260" s="566"/>
      <c r="UOO260" s="565"/>
      <c r="UOP260" s="565"/>
      <c r="UOQ260" s="565"/>
      <c r="UOR260" s="565"/>
      <c r="UOS260" s="565"/>
      <c r="UOT260" s="565"/>
      <c r="UOU260" s="565"/>
      <c r="UOV260" s="565"/>
      <c r="UOW260" s="565"/>
      <c r="UOX260" s="565"/>
      <c r="UOY260" s="565"/>
      <c r="UOZ260" s="565"/>
      <c r="UPA260" s="565"/>
      <c r="UPB260" s="565"/>
      <c r="UPC260" s="565"/>
      <c r="UPD260" s="565"/>
      <c r="UPE260" s="565"/>
      <c r="UPF260" s="565"/>
      <c r="UPG260" s="565"/>
      <c r="UPH260" s="566"/>
      <c r="UPI260" s="565"/>
      <c r="UPJ260" s="565"/>
      <c r="UPK260" s="565"/>
      <c r="UPL260" s="565"/>
      <c r="UPM260" s="565"/>
      <c r="UPN260" s="565"/>
      <c r="UPO260" s="565"/>
      <c r="UPP260" s="565"/>
      <c r="UPQ260" s="565"/>
      <c r="UPR260" s="565"/>
      <c r="UPS260" s="565"/>
      <c r="UPT260" s="565"/>
      <c r="UPU260" s="565"/>
      <c r="UPV260" s="565"/>
      <c r="UPW260" s="565"/>
      <c r="UPX260" s="565"/>
      <c r="UPY260" s="565"/>
      <c r="UPZ260" s="565"/>
      <c r="UQA260" s="565"/>
      <c r="UQB260" s="566"/>
      <c r="UQC260" s="565"/>
      <c r="UQD260" s="565"/>
      <c r="UQE260" s="565"/>
      <c r="UQF260" s="565"/>
      <c r="UQG260" s="565"/>
      <c r="UQH260" s="565"/>
      <c r="UQI260" s="565"/>
      <c r="UQJ260" s="565"/>
      <c r="UQK260" s="565"/>
      <c r="UQL260" s="565"/>
      <c r="UQM260" s="565"/>
      <c r="UQN260" s="565"/>
      <c r="UQO260" s="565"/>
      <c r="UQP260" s="565"/>
      <c r="UQQ260" s="565"/>
      <c r="UQR260" s="565"/>
      <c r="UQS260" s="565"/>
      <c r="UQT260" s="565"/>
      <c r="UQU260" s="565"/>
      <c r="UQV260" s="566"/>
      <c r="UQW260" s="565"/>
      <c r="UQX260" s="565"/>
      <c r="UQY260" s="565"/>
      <c r="UQZ260" s="565"/>
      <c r="URA260" s="565"/>
      <c r="URB260" s="565"/>
      <c r="URC260" s="565"/>
      <c r="URD260" s="565"/>
      <c r="URE260" s="565"/>
      <c r="URF260" s="565"/>
      <c r="URG260" s="565"/>
      <c r="URH260" s="565"/>
      <c r="URI260" s="565"/>
      <c r="URJ260" s="565"/>
      <c r="URK260" s="565"/>
      <c r="URL260" s="565"/>
      <c r="URM260" s="565"/>
      <c r="URN260" s="565"/>
      <c r="URO260" s="565"/>
      <c r="URP260" s="566"/>
      <c r="URQ260" s="565"/>
      <c r="URR260" s="565"/>
      <c r="URS260" s="565"/>
      <c r="URT260" s="565"/>
      <c r="URU260" s="565"/>
      <c r="URV260" s="565"/>
      <c r="URW260" s="565"/>
      <c r="URX260" s="565"/>
      <c r="URY260" s="565"/>
      <c r="URZ260" s="565"/>
      <c r="USA260" s="565"/>
      <c r="USB260" s="565"/>
      <c r="USC260" s="565"/>
      <c r="USD260" s="565"/>
      <c r="USE260" s="565"/>
      <c r="USF260" s="565"/>
      <c r="USG260" s="565"/>
      <c r="USH260" s="565"/>
      <c r="USI260" s="565"/>
      <c r="USJ260" s="566"/>
      <c r="USK260" s="565"/>
      <c r="USL260" s="565"/>
      <c r="USM260" s="565"/>
      <c r="USN260" s="565"/>
      <c r="USO260" s="565"/>
      <c r="USP260" s="565"/>
      <c r="USQ260" s="565"/>
      <c r="USR260" s="565"/>
      <c r="USS260" s="565"/>
      <c r="UST260" s="565"/>
      <c r="USU260" s="565"/>
      <c r="USV260" s="565"/>
      <c r="USW260" s="565"/>
      <c r="USX260" s="565"/>
      <c r="USY260" s="565"/>
      <c r="USZ260" s="565"/>
      <c r="UTA260" s="565"/>
      <c r="UTB260" s="565"/>
      <c r="UTC260" s="565"/>
      <c r="UTD260" s="566"/>
      <c r="UTE260" s="565"/>
      <c r="UTF260" s="565"/>
      <c r="UTG260" s="565"/>
      <c r="UTH260" s="565"/>
      <c r="UTI260" s="565"/>
      <c r="UTJ260" s="565"/>
      <c r="UTK260" s="565"/>
      <c r="UTL260" s="565"/>
      <c r="UTM260" s="565"/>
      <c r="UTN260" s="565"/>
      <c r="UTO260" s="565"/>
      <c r="UTP260" s="565"/>
      <c r="UTQ260" s="565"/>
      <c r="UTR260" s="565"/>
      <c r="UTS260" s="565"/>
      <c r="UTT260" s="565"/>
      <c r="UTU260" s="565"/>
      <c r="UTV260" s="565"/>
      <c r="UTW260" s="565"/>
      <c r="UTX260" s="566"/>
      <c r="UTY260" s="565"/>
      <c r="UTZ260" s="565"/>
      <c r="UUA260" s="565"/>
      <c r="UUB260" s="565"/>
      <c r="UUC260" s="565"/>
      <c r="UUD260" s="565"/>
      <c r="UUE260" s="565"/>
      <c r="UUF260" s="565"/>
      <c r="UUG260" s="565"/>
      <c r="UUH260" s="565"/>
      <c r="UUI260" s="565"/>
      <c r="UUJ260" s="565"/>
      <c r="UUK260" s="565"/>
      <c r="UUL260" s="565"/>
      <c r="UUM260" s="565"/>
      <c r="UUN260" s="565"/>
      <c r="UUO260" s="565"/>
      <c r="UUP260" s="565"/>
      <c r="UUQ260" s="565"/>
      <c r="UUR260" s="566"/>
      <c r="UUS260" s="565"/>
      <c r="UUT260" s="565"/>
      <c r="UUU260" s="565"/>
      <c r="UUV260" s="565"/>
      <c r="UUW260" s="565"/>
      <c r="UUX260" s="565"/>
      <c r="UUY260" s="565"/>
      <c r="UUZ260" s="565"/>
      <c r="UVA260" s="565"/>
      <c r="UVB260" s="565"/>
      <c r="UVC260" s="565"/>
      <c r="UVD260" s="565"/>
      <c r="UVE260" s="565"/>
      <c r="UVF260" s="565"/>
      <c r="UVG260" s="565"/>
      <c r="UVH260" s="565"/>
      <c r="UVI260" s="565"/>
      <c r="UVJ260" s="565"/>
      <c r="UVK260" s="565"/>
      <c r="UVL260" s="566"/>
      <c r="UVM260" s="565"/>
      <c r="UVN260" s="565"/>
      <c r="UVO260" s="565"/>
      <c r="UVP260" s="565"/>
      <c r="UVQ260" s="565"/>
      <c r="UVR260" s="565"/>
      <c r="UVS260" s="565"/>
      <c r="UVT260" s="565"/>
      <c r="UVU260" s="565"/>
      <c r="UVV260" s="565"/>
      <c r="UVW260" s="565"/>
      <c r="UVX260" s="565"/>
      <c r="UVY260" s="565"/>
      <c r="UVZ260" s="565"/>
      <c r="UWA260" s="565"/>
      <c r="UWB260" s="565"/>
      <c r="UWC260" s="565"/>
      <c r="UWD260" s="565"/>
      <c r="UWE260" s="565"/>
      <c r="UWF260" s="566"/>
      <c r="UWG260" s="565"/>
      <c r="UWH260" s="565"/>
      <c r="UWI260" s="565"/>
      <c r="UWJ260" s="565"/>
      <c r="UWK260" s="565"/>
      <c r="UWL260" s="565"/>
      <c r="UWM260" s="565"/>
      <c r="UWN260" s="565"/>
      <c r="UWO260" s="565"/>
      <c r="UWP260" s="565"/>
      <c r="UWQ260" s="565"/>
      <c r="UWR260" s="565"/>
      <c r="UWS260" s="565"/>
      <c r="UWT260" s="565"/>
      <c r="UWU260" s="565"/>
      <c r="UWV260" s="565"/>
      <c r="UWW260" s="565"/>
      <c r="UWX260" s="565"/>
      <c r="UWY260" s="565"/>
      <c r="UWZ260" s="566"/>
      <c r="UXA260" s="565"/>
      <c r="UXB260" s="565"/>
      <c r="UXC260" s="565"/>
      <c r="UXD260" s="565"/>
      <c r="UXE260" s="565"/>
      <c r="UXF260" s="565"/>
      <c r="UXG260" s="565"/>
      <c r="UXH260" s="565"/>
      <c r="UXI260" s="565"/>
      <c r="UXJ260" s="565"/>
      <c r="UXK260" s="565"/>
      <c r="UXL260" s="565"/>
      <c r="UXM260" s="565"/>
      <c r="UXN260" s="565"/>
      <c r="UXO260" s="565"/>
      <c r="UXP260" s="565"/>
      <c r="UXQ260" s="565"/>
      <c r="UXR260" s="565"/>
      <c r="UXS260" s="565"/>
      <c r="UXT260" s="566"/>
      <c r="UXU260" s="565"/>
      <c r="UXV260" s="565"/>
      <c r="UXW260" s="565"/>
      <c r="UXX260" s="565"/>
      <c r="UXY260" s="565"/>
      <c r="UXZ260" s="565"/>
      <c r="UYA260" s="565"/>
      <c r="UYB260" s="565"/>
      <c r="UYC260" s="565"/>
      <c r="UYD260" s="565"/>
      <c r="UYE260" s="565"/>
      <c r="UYF260" s="565"/>
      <c r="UYG260" s="565"/>
      <c r="UYH260" s="565"/>
      <c r="UYI260" s="565"/>
      <c r="UYJ260" s="565"/>
      <c r="UYK260" s="565"/>
      <c r="UYL260" s="565"/>
      <c r="UYM260" s="565"/>
      <c r="UYN260" s="566"/>
      <c r="UYO260" s="565"/>
      <c r="UYP260" s="565"/>
      <c r="UYQ260" s="565"/>
      <c r="UYR260" s="565"/>
      <c r="UYS260" s="565"/>
      <c r="UYT260" s="565"/>
      <c r="UYU260" s="565"/>
      <c r="UYV260" s="565"/>
      <c r="UYW260" s="565"/>
      <c r="UYX260" s="565"/>
      <c r="UYY260" s="565"/>
      <c r="UYZ260" s="565"/>
      <c r="UZA260" s="565"/>
      <c r="UZB260" s="565"/>
      <c r="UZC260" s="565"/>
      <c r="UZD260" s="565"/>
      <c r="UZE260" s="565"/>
      <c r="UZF260" s="565"/>
      <c r="UZG260" s="565"/>
      <c r="UZH260" s="566"/>
      <c r="UZI260" s="565"/>
      <c r="UZJ260" s="565"/>
      <c r="UZK260" s="565"/>
      <c r="UZL260" s="565"/>
      <c r="UZM260" s="565"/>
      <c r="UZN260" s="565"/>
      <c r="UZO260" s="565"/>
      <c r="UZP260" s="565"/>
      <c r="UZQ260" s="565"/>
      <c r="UZR260" s="565"/>
      <c r="UZS260" s="565"/>
      <c r="UZT260" s="565"/>
      <c r="UZU260" s="565"/>
      <c r="UZV260" s="565"/>
      <c r="UZW260" s="565"/>
      <c r="UZX260" s="565"/>
      <c r="UZY260" s="565"/>
      <c r="UZZ260" s="565"/>
      <c r="VAA260" s="565"/>
      <c r="VAB260" s="566"/>
      <c r="VAC260" s="565"/>
      <c r="VAD260" s="565"/>
      <c r="VAE260" s="565"/>
      <c r="VAF260" s="565"/>
      <c r="VAG260" s="565"/>
      <c r="VAH260" s="565"/>
      <c r="VAI260" s="565"/>
      <c r="VAJ260" s="565"/>
      <c r="VAK260" s="565"/>
      <c r="VAL260" s="565"/>
      <c r="VAM260" s="565"/>
      <c r="VAN260" s="565"/>
      <c r="VAO260" s="565"/>
      <c r="VAP260" s="565"/>
      <c r="VAQ260" s="565"/>
      <c r="VAR260" s="565"/>
      <c r="VAS260" s="565"/>
      <c r="VAT260" s="565"/>
      <c r="VAU260" s="565"/>
      <c r="VAV260" s="566"/>
      <c r="VAW260" s="565"/>
      <c r="VAX260" s="565"/>
      <c r="VAY260" s="565"/>
      <c r="VAZ260" s="565"/>
      <c r="VBA260" s="565"/>
      <c r="VBB260" s="565"/>
      <c r="VBC260" s="565"/>
      <c r="VBD260" s="565"/>
      <c r="VBE260" s="565"/>
      <c r="VBF260" s="565"/>
      <c r="VBG260" s="565"/>
      <c r="VBH260" s="565"/>
      <c r="VBI260" s="565"/>
      <c r="VBJ260" s="565"/>
      <c r="VBK260" s="565"/>
      <c r="VBL260" s="565"/>
      <c r="VBM260" s="565"/>
      <c r="VBN260" s="565"/>
      <c r="VBO260" s="565"/>
      <c r="VBP260" s="566"/>
      <c r="VBQ260" s="565"/>
      <c r="VBR260" s="565"/>
      <c r="VBS260" s="565"/>
      <c r="VBT260" s="565"/>
      <c r="VBU260" s="565"/>
      <c r="VBV260" s="565"/>
      <c r="VBW260" s="565"/>
      <c r="VBX260" s="565"/>
      <c r="VBY260" s="565"/>
      <c r="VBZ260" s="565"/>
      <c r="VCA260" s="565"/>
      <c r="VCB260" s="565"/>
      <c r="VCC260" s="565"/>
      <c r="VCD260" s="565"/>
      <c r="VCE260" s="565"/>
      <c r="VCF260" s="565"/>
      <c r="VCG260" s="565"/>
      <c r="VCH260" s="565"/>
      <c r="VCI260" s="565"/>
      <c r="VCJ260" s="566"/>
      <c r="VCK260" s="565"/>
      <c r="VCL260" s="565"/>
      <c r="VCM260" s="565"/>
      <c r="VCN260" s="565"/>
      <c r="VCO260" s="565"/>
      <c r="VCP260" s="565"/>
      <c r="VCQ260" s="565"/>
      <c r="VCR260" s="565"/>
      <c r="VCS260" s="565"/>
      <c r="VCT260" s="565"/>
      <c r="VCU260" s="565"/>
      <c r="VCV260" s="565"/>
      <c r="VCW260" s="565"/>
      <c r="VCX260" s="565"/>
      <c r="VCY260" s="565"/>
      <c r="VCZ260" s="565"/>
      <c r="VDA260" s="565"/>
      <c r="VDB260" s="565"/>
      <c r="VDC260" s="565"/>
      <c r="VDD260" s="566"/>
      <c r="VDE260" s="565"/>
      <c r="VDF260" s="565"/>
      <c r="VDG260" s="565"/>
      <c r="VDH260" s="565"/>
      <c r="VDI260" s="565"/>
      <c r="VDJ260" s="565"/>
      <c r="VDK260" s="565"/>
      <c r="VDL260" s="565"/>
      <c r="VDM260" s="565"/>
      <c r="VDN260" s="565"/>
      <c r="VDO260" s="565"/>
      <c r="VDP260" s="565"/>
      <c r="VDQ260" s="565"/>
      <c r="VDR260" s="565"/>
      <c r="VDS260" s="565"/>
      <c r="VDT260" s="565"/>
      <c r="VDU260" s="565"/>
      <c r="VDV260" s="565"/>
      <c r="VDW260" s="565"/>
      <c r="VDX260" s="566"/>
      <c r="VDY260" s="565"/>
      <c r="VDZ260" s="565"/>
      <c r="VEA260" s="565"/>
      <c r="VEB260" s="565"/>
      <c r="VEC260" s="565"/>
      <c r="VED260" s="565"/>
      <c r="VEE260" s="565"/>
      <c r="VEF260" s="565"/>
      <c r="VEG260" s="565"/>
      <c r="VEH260" s="565"/>
      <c r="VEI260" s="565"/>
      <c r="VEJ260" s="565"/>
      <c r="VEK260" s="565"/>
      <c r="VEL260" s="565"/>
      <c r="VEM260" s="565"/>
      <c r="VEN260" s="565"/>
      <c r="VEO260" s="565"/>
      <c r="VEP260" s="565"/>
      <c r="VEQ260" s="565"/>
      <c r="VER260" s="566"/>
      <c r="VES260" s="565"/>
      <c r="VET260" s="565"/>
      <c r="VEU260" s="565"/>
      <c r="VEV260" s="565"/>
      <c r="VEW260" s="565"/>
      <c r="VEX260" s="565"/>
      <c r="VEY260" s="565"/>
      <c r="VEZ260" s="565"/>
      <c r="VFA260" s="565"/>
      <c r="VFB260" s="565"/>
      <c r="VFC260" s="565"/>
      <c r="VFD260" s="565"/>
      <c r="VFE260" s="565"/>
      <c r="VFF260" s="565"/>
      <c r="VFG260" s="565"/>
      <c r="VFH260" s="565"/>
      <c r="VFI260" s="565"/>
      <c r="VFJ260" s="565"/>
      <c r="VFK260" s="565"/>
      <c r="VFL260" s="566"/>
      <c r="VFM260" s="565"/>
      <c r="VFN260" s="565"/>
      <c r="VFO260" s="565"/>
      <c r="VFP260" s="565"/>
      <c r="VFQ260" s="565"/>
      <c r="VFR260" s="565"/>
      <c r="VFS260" s="565"/>
      <c r="VFT260" s="565"/>
      <c r="VFU260" s="565"/>
      <c r="VFV260" s="565"/>
      <c r="VFW260" s="565"/>
      <c r="VFX260" s="565"/>
      <c r="VFY260" s="565"/>
      <c r="VFZ260" s="565"/>
      <c r="VGA260" s="565"/>
      <c r="VGB260" s="565"/>
      <c r="VGC260" s="565"/>
      <c r="VGD260" s="565"/>
      <c r="VGE260" s="565"/>
      <c r="VGF260" s="566"/>
      <c r="VGG260" s="565"/>
      <c r="VGH260" s="565"/>
      <c r="VGI260" s="565"/>
      <c r="VGJ260" s="565"/>
      <c r="VGK260" s="565"/>
      <c r="VGL260" s="565"/>
      <c r="VGM260" s="565"/>
      <c r="VGN260" s="565"/>
      <c r="VGO260" s="565"/>
      <c r="VGP260" s="565"/>
      <c r="VGQ260" s="565"/>
      <c r="VGR260" s="565"/>
      <c r="VGS260" s="565"/>
      <c r="VGT260" s="565"/>
      <c r="VGU260" s="565"/>
      <c r="VGV260" s="565"/>
      <c r="VGW260" s="565"/>
      <c r="VGX260" s="565"/>
      <c r="VGY260" s="565"/>
      <c r="VGZ260" s="566"/>
      <c r="VHA260" s="565"/>
      <c r="VHB260" s="565"/>
      <c r="VHC260" s="565"/>
      <c r="VHD260" s="565"/>
      <c r="VHE260" s="565"/>
      <c r="VHF260" s="565"/>
      <c r="VHG260" s="565"/>
      <c r="VHH260" s="565"/>
      <c r="VHI260" s="565"/>
      <c r="VHJ260" s="565"/>
      <c r="VHK260" s="565"/>
      <c r="VHL260" s="565"/>
      <c r="VHM260" s="565"/>
      <c r="VHN260" s="565"/>
      <c r="VHO260" s="565"/>
      <c r="VHP260" s="565"/>
      <c r="VHQ260" s="565"/>
      <c r="VHR260" s="565"/>
      <c r="VHS260" s="565"/>
      <c r="VHT260" s="566"/>
      <c r="VHU260" s="565"/>
      <c r="VHV260" s="565"/>
      <c r="VHW260" s="565"/>
      <c r="VHX260" s="565"/>
      <c r="VHY260" s="565"/>
      <c r="VHZ260" s="565"/>
      <c r="VIA260" s="565"/>
      <c r="VIB260" s="565"/>
      <c r="VIC260" s="565"/>
      <c r="VID260" s="565"/>
      <c r="VIE260" s="565"/>
      <c r="VIF260" s="565"/>
      <c r="VIG260" s="565"/>
      <c r="VIH260" s="565"/>
      <c r="VII260" s="565"/>
      <c r="VIJ260" s="565"/>
      <c r="VIK260" s="565"/>
      <c r="VIL260" s="565"/>
      <c r="VIM260" s="565"/>
      <c r="VIN260" s="566"/>
      <c r="VIO260" s="565"/>
      <c r="VIP260" s="565"/>
      <c r="VIQ260" s="565"/>
      <c r="VIR260" s="565"/>
      <c r="VIS260" s="565"/>
      <c r="VIT260" s="565"/>
      <c r="VIU260" s="565"/>
      <c r="VIV260" s="565"/>
      <c r="VIW260" s="565"/>
      <c r="VIX260" s="565"/>
      <c r="VIY260" s="565"/>
      <c r="VIZ260" s="565"/>
      <c r="VJA260" s="565"/>
      <c r="VJB260" s="565"/>
      <c r="VJC260" s="565"/>
      <c r="VJD260" s="565"/>
      <c r="VJE260" s="565"/>
      <c r="VJF260" s="565"/>
      <c r="VJG260" s="565"/>
      <c r="VJH260" s="566"/>
      <c r="VJI260" s="565"/>
      <c r="VJJ260" s="565"/>
      <c r="VJK260" s="565"/>
      <c r="VJL260" s="565"/>
      <c r="VJM260" s="565"/>
      <c r="VJN260" s="565"/>
      <c r="VJO260" s="565"/>
      <c r="VJP260" s="565"/>
      <c r="VJQ260" s="565"/>
      <c r="VJR260" s="565"/>
      <c r="VJS260" s="565"/>
      <c r="VJT260" s="565"/>
      <c r="VJU260" s="565"/>
      <c r="VJV260" s="565"/>
      <c r="VJW260" s="565"/>
      <c r="VJX260" s="565"/>
      <c r="VJY260" s="565"/>
      <c r="VJZ260" s="565"/>
      <c r="VKA260" s="565"/>
      <c r="VKB260" s="566"/>
      <c r="VKC260" s="565"/>
      <c r="VKD260" s="565"/>
      <c r="VKE260" s="565"/>
      <c r="VKF260" s="565"/>
      <c r="VKG260" s="565"/>
      <c r="VKH260" s="565"/>
      <c r="VKI260" s="565"/>
      <c r="VKJ260" s="565"/>
      <c r="VKK260" s="565"/>
      <c r="VKL260" s="565"/>
      <c r="VKM260" s="565"/>
      <c r="VKN260" s="565"/>
      <c r="VKO260" s="565"/>
      <c r="VKP260" s="565"/>
      <c r="VKQ260" s="565"/>
      <c r="VKR260" s="565"/>
      <c r="VKS260" s="565"/>
      <c r="VKT260" s="565"/>
      <c r="VKU260" s="565"/>
      <c r="VKV260" s="566"/>
      <c r="VKW260" s="565"/>
      <c r="VKX260" s="565"/>
      <c r="VKY260" s="565"/>
      <c r="VKZ260" s="565"/>
      <c r="VLA260" s="565"/>
      <c r="VLB260" s="565"/>
      <c r="VLC260" s="565"/>
      <c r="VLD260" s="565"/>
      <c r="VLE260" s="565"/>
      <c r="VLF260" s="565"/>
      <c r="VLG260" s="565"/>
      <c r="VLH260" s="565"/>
      <c r="VLI260" s="565"/>
      <c r="VLJ260" s="565"/>
      <c r="VLK260" s="565"/>
      <c r="VLL260" s="565"/>
      <c r="VLM260" s="565"/>
      <c r="VLN260" s="565"/>
      <c r="VLO260" s="565"/>
      <c r="VLP260" s="566"/>
      <c r="VLQ260" s="565"/>
      <c r="VLR260" s="565"/>
      <c r="VLS260" s="565"/>
      <c r="VLT260" s="565"/>
      <c r="VLU260" s="565"/>
      <c r="VLV260" s="565"/>
      <c r="VLW260" s="565"/>
      <c r="VLX260" s="565"/>
      <c r="VLY260" s="565"/>
      <c r="VLZ260" s="565"/>
      <c r="VMA260" s="565"/>
      <c r="VMB260" s="565"/>
      <c r="VMC260" s="565"/>
      <c r="VMD260" s="565"/>
      <c r="VME260" s="565"/>
      <c r="VMF260" s="565"/>
      <c r="VMG260" s="565"/>
      <c r="VMH260" s="565"/>
      <c r="VMI260" s="565"/>
      <c r="VMJ260" s="566"/>
      <c r="VMK260" s="565"/>
      <c r="VML260" s="565"/>
      <c r="VMM260" s="565"/>
      <c r="VMN260" s="565"/>
      <c r="VMO260" s="565"/>
      <c r="VMP260" s="565"/>
      <c r="VMQ260" s="565"/>
      <c r="VMR260" s="565"/>
      <c r="VMS260" s="565"/>
      <c r="VMT260" s="565"/>
      <c r="VMU260" s="565"/>
      <c r="VMV260" s="565"/>
      <c r="VMW260" s="565"/>
      <c r="VMX260" s="565"/>
      <c r="VMY260" s="565"/>
      <c r="VMZ260" s="565"/>
      <c r="VNA260" s="565"/>
      <c r="VNB260" s="565"/>
      <c r="VNC260" s="565"/>
      <c r="VND260" s="566"/>
      <c r="VNE260" s="565"/>
      <c r="VNF260" s="565"/>
      <c r="VNG260" s="565"/>
      <c r="VNH260" s="565"/>
      <c r="VNI260" s="565"/>
      <c r="VNJ260" s="565"/>
      <c r="VNK260" s="565"/>
      <c r="VNL260" s="565"/>
      <c r="VNM260" s="565"/>
      <c r="VNN260" s="565"/>
      <c r="VNO260" s="565"/>
      <c r="VNP260" s="565"/>
      <c r="VNQ260" s="565"/>
      <c r="VNR260" s="565"/>
      <c r="VNS260" s="565"/>
      <c r="VNT260" s="565"/>
      <c r="VNU260" s="565"/>
      <c r="VNV260" s="565"/>
      <c r="VNW260" s="565"/>
      <c r="VNX260" s="566"/>
      <c r="VNY260" s="565"/>
      <c r="VNZ260" s="565"/>
      <c r="VOA260" s="565"/>
      <c r="VOB260" s="565"/>
      <c r="VOC260" s="565"/>
      <c r="VOD260" s="565"/>
      <c r="VOE260" s="565"/>
      <c r="VOF260" s="565"/>
      <c r="VOG260" s="565"/>
      <c r="VOH260" s="565"/>
      <c r="VOI260" s="565"/>
      <c r="VOJ260" s="565"/>
      <c r="VOK260" s="565"/>
      <c r="VOL260" s="565"/>
      <c r="VOM260" s="565"/>
      <c r="VON260" s="565"/>
      <c r="VOO260" s="565"/>
      <c r="VOP260" s="565"/>
      <c r="VOQ260" s="565"/>
      <c r="VOR260" s="566"/>
      <c r="VOS260" s="565"/>
      <c r="VOT260" s="565"/>
      <c r="VOU260" s="565"/>
      <c r="VOV260" s="565"/>
      <c r="VOW260" s="565"/>
      <c r="VOX260" s="565"/>
      <c r="VOY260" s="565"/>
      <c r="VOZ260" s="565"/>
      <c r="VPA260" s="565"/>
      <c r="VPB260" s="565"/>
      <c r="VPC260" s="565"/>
      <c r="VPD260" s="565"/>
      <c r="VPE260" s="565"/>
      <c r="VPF260" s="565"/>
      <c r="VPG260" s="565"/>
      <c r="VPH260" s="565"/>
      <c r="VPI260" s="565"/>
      <c r="VPJ260" s="565"/>
      <c r="VPK260" s="565"/>
      <c r="VPL260" s="566"/>
      <c r="VPM260" s="565"/>
      <c r="VPN260" s="565"/>
      <c r="VPO260" s="565"/>
      <c r="VPP260" s="565"/>
      <c r="VPQ260" s="565"/>
      <c r="VPR260" s="565"/>
      <c r="VPS260" s="565"/>
      <c r="VPT260" s="565"/>
      <c r="VPU260" s="565"/>
      <c r="VPV260" s="565"/>
      <c r="VPW260" s="565"/>
      <c r="VPX260" s="565"/>
      <c r="VPY260" s="565"/>
      <c r="VPZ260" s="565"/>
      <c r="VQA260" s="565"/>
      <c r="VQB260" s="565"/>
      <c r="VQC260" s="565"/>
      <c r="VQD260" s="565"/>
      <c r="VQE260" s="565"/>
      <c r="VQF260" s="566"/>
      <c r="VQG260" s="565"/>
      <c r="VQH260" s="565"/>
      <c r="VQI260" s="565"/>
      <c r="VQJ260" s="565"/>
      <c r="VQK260" s="565"/>
      <c r="VQL260" s="565"/>
      <c r="VQM260" s="565"/>
      <c r="VQN260" s="565"/>
      <c r="VQO260" s="565"/>
      <c r="VQP260" s="565"/>
      <c r="VQQ260" s="565"/>
      <c r="VQR260" s="565"/>
      <c r="VQS260" s="565"/>
      <c r="VQT260" s="565"/>
      <c r="VQU260" s="565"/>
      <c r="VQV260" s="565"/>
      <c r="VQW260" s="565"/>
      <c r="VQX260" s="565"/>
      <c r="VQY260" s="565"/>
      <c r="VQZ260" s="566"/>
      <c r="VRA260" s="565"/>
      <c r="VRB260" s="565"/>
      <c r="VRC260" s="565"/>
      <c r="VRD260" s="565"/>
      <c r="VRE260" s="565"/>
      <c r="VRF260" s="565"/>
      <c r="VRG260" s="565"/>
      <c r="VRH260" s="565"/>
      <c r="VRI260" s="565"/>
      <c r="VRJ260" s="565"/>
      <c r="VRK260" s="565"/>
      <c r="VRL260" s="565"/>
      <c r="VRM260" s="565"/>
      <c r="VRN260" s="565"/>
      <c r="VRO260" s="565"/>
      <c r="VRP260" s="565"/>
      <c r="VRQ260" s="565"/>
      <c r="VRR260" s="565"/>
      <c r="VRS260" s="565"/>
      <c r="VRT260" s="566"/>
      <c r="VRU260" s="565"/>
      <c r="VRV260" s="565"/>
      <c r="VRW260" s="565"/>
      <c r="VRX260" s="565"/>
      <c r="VRY260" s="565"/>
      <c r="VRZ260" s="565"/>
      <c r="VSA260" s="565"/>
      <c r="VSB260" s="565"/>
      <c r="VSC260" s="565"/>
      <c r="VSD260" s="565"/>
      <c r="VSE260" s="565"/>
      <c r="VSF260" s="565"/>
      <c r="VSG260" s="565"/>
      <c r="VSH260" s="565"/>
      <c r="VSI260" s="565"/>
      <c r="VSJ260" s="565"/>
      <c r="VSK260" s="565"/>
      <c r="VSL260" s="565"/>
      <c r="VSM260" s="565"/>
      <c r="VSN260" s="566"/>
      <c r="VSO260" s="565"/>
      <c r="VSP260" s="565"/>
      <c r="VSQ260" s="565"/>
      <c r="VSR260" s="565"/>
      <c r="VSS260" s="565"/>
      <c r="VST260" s="565"/>
      <c r="VSU260" s="565"/>
      <c r="VSV260" s="565"/>
      <c r="VSW260" s="565"/>
      <c r="VSX260" s="565"/>
      <c r="VSY260" s="565"/>
      <c r="VSZ260" s="565"/>
      <c r="VTA260" s="565"/>
      <c r="VTB260" s="565"/>
      <c r="VTC260" s="565"/>
      <c r="VTD260" s="565"/>
      <c r="VTE260" s="565"/>
      <c r="VTF260" s="565"/>
      <c r="VTG260" s="565"/>
      <c r="VTH260" s="566"/>
      <c r="VTI260" s="565"/>
      <c r="VTJ260" s="565"/>
      <c r="VTK260" s="565"/>
      <c r="VTL260" s="565"/>
      <c r="VTM260" s="565"/>
      <c r="VTN260" s="565"/>
      <c r="VTO260" s="565"/>
      <c r="VTP260" s="565"/>
      <c r="VTQ260" s="565"/>
      <c r="VTR260" s="565"/>
      <c r="VTS260" s="565"/>
      <c r="VTT260" s="565"/>
      <c r="VTU260" s="565"/>
      <c r="VTV260" s="565"/>
      <c r="VTW260" s="565"/>
      <c r="VTX260" s="565"/>
      <c r="VTY260" s="565"/>
      <c r="VTZ260" s="565"/>
      <c r="VUA260" s="565"/>
      <c r="VUB260" s="566"/>
      <c r="VUC260" s="565"/>
      <c r="VUD260" s="565"/>
      <c r="VUE260" s="565"/>
      <c r="VUF260" s="565"/>
      <c r="VUG260" s="565"/>
      <c r="VUH260" s="565"/>
      <c r="VUI260" s="565"/>
      <c r="VUJ260" s="565"/>
      <c r="VUK260" s="565"/>
      <c r="VUL260" s="565"/>
      <c r="VUM260" s="565"/>
      <c r="VUN260" s="565"/>
      <c r="VUO260" s="565"/>
      <c r="VUP260" s="565"/>
      <c r="VUQ260" s="565"/>
      <c r="VUR260" s="565"/>
      <c r="VUS260" s="565"/>
      <c r="VUT260" s="565"/>
      <c r="VUU260" s="565"/>
      <c r="VUV260" s="566"/>
      <c r="VUW260" s="565"/>
      <c r="VUX260" s="565"/>
      <c r="VUY260" s="565"/>
      <c r="VUZ260" s="565"/>
      <c r="VVA260" s="565"/>
      <c r="VVB260" s="565"/>
      <c r="VVC260" s="565"/>
      <c r="VVD260" s="565"/>
      <c r="VVE260" s="565"/>
      <c r="VVF260" s="565"/>
      <c r="VVG260" s="565"/>
      <c r="VVH260" s="565"/>
      <c r="VVI260" s="565"/>
      <c r="VVJ260" s="565"/>
      <c r="VVK260" s="565"/>
      <c r="VVL260" s="565"/>
      <c r="VVM260" s="565"/>
      <c r="VVN260" s="565"/>
      <c r="VVO260" s="565"/>
      <c r="VVP260" s="566"/>
      <c r="VVQ260" s="565"/>
      <c r="VVR260" s="565"/>
      <c r="VVS260" s="565"/>
      <c r="VVT260" s="565"/>
      <c r="VVU260" s="565"/>
      <c r="VVV260" s="565"/>
      <c r="VVW260" s="565"/>
      <c r="VVX260" s="565"/>
      <c r="VVY260" s="565"/>
      <c r="VVZ260" s="565"/>
      <c r="VWA260" s="565"/>
      <c r="VWB260" s="565"/>
      <c r="VWC260" s="565"/>
      <c r="VWD260" s="565"/>
      <c r="VWE260" s="565"/>
      <c r="VWF260" s="565"/>
      <c r="VWG260" s="565"/>
      <c r="VWH260" s="565"/>
      <c r="VWI260" s="565"/>
      <c r="VWJ260" s="566"/>
      <c r="VWK260" s="565"/>
      <c r="VWL260" s="565"/>
      <c r="VWM260" s="565"/>
      <c r="VWN260" s="565"/>
      <c r="VWO260" s="565"/>
      <c r="VWP260" s="565"/>
      <c r="VWQ260" s="565"/>
      <c r="VWR260" s="565"/>
      <c r="VWS260" s="565"/>
      <c r="VWT260" s="565"/>
      <c r="VWU260" s="565"/>
      <c r="VWV260" s="565"/>
      <c r="VWW260" s="565"/>
      <c r="VWX260" s="565"/>
      <c r="VWY260" s="565"/>
      <c r="VWZ260" s="565"/>
      <c r="VXA260" s="565"/>
      <c r="VXB260" s="565"/>
      <c r="VXC260" s="565"/>
      <c r="VXD260" s="566"/>
      <c r="VXE260" s="565"/>
      <c r="VXF260" s="565"/>
      <c r="VXG260" s="565"/>
      <c r="VXH260" s="565"/>
      <c r="VXI260" s="565"/>
      <c r="VXJ260" s="565"/>
      <c r="VXK260" s="565"/>
      <c r="VXL260" s="565"/>
      <c r="VXM260" s="565"/>
      <c r="VXN260" s="565"/>
      <c r="VXO260" s="565"/>
      <c r="VXP260" s="565"/>
      <c r="VXQ260" s="565"/>
      <c r="VXR260" s="565"/>
      <c r="VXS260" s="565"/>
      <c r="VXT260" s="565"/>
      <c r="VXU260" s="565"/>
      <c r="VXV260" s="565"/>
      <c r="VXW260" s="565"/>
      <c r="VXX260" s="566"/>
      <c r="VXY260" s="565"/>
      <c r="VXZ260" s="565"/>
      <c r="VYA260" s="565"/>
      <c r="VYB260" s="565"/>
      <c r="VYC260" s="565"/>
      <c r="VYD260" s="565"/>
      <c r="VYE260" s="565"/>
      <c r="VYF260" s="565"/>
      <c r="VYG260" s="565"/>
      <c r="VYH260" s="565"/>
      <c r="VYI260" s="565"/>
      <c r="VYJ260" s="565"/>
      <c r="VYK260" s="565"/>
      <c r="VYL260" s="565"/>
      <c r="VYM260" s="565"/>
      <c r="VYN260" s="565"/>
      <c r="VYO260" s="565"/>
      <c r="VYP260" s="565"/>
      <c r="VYQ260" s="565"/>
      <c r="VYR260" s="566"/>
      <c r="VYS260" s="565"/>
      <c r="VYT260" s="565"/>
      <c r="VYU260" s="565"/>
      <c r="VYV260" s="565"/>
      <c r="VYW260" s="565"/>
      <c r="VYX260" s="565"/>
      <c r="VYY260" s="565"/>
      <c r="VYZ260" s="565"/>
      <c r="VZA260" s="565"/>
      <c r="VZB260" s="565"/>
      <c r="VZC260" s="565"/>
      <c r="VZD260" s="565"/>
      <c r="VZE260" s="565"/>
      <c r="VZF260" s="565"/>
      <c r="VZG260" s="565"/>
      <c r="VZH260" s="565"/>
      <c r="VZI260" s="565"/>
      <c r="VZJ260" s="565"/>
      <c r="VZK260" s="565"/>
      <c r="VZL260" s="566"/>
      <c r="VZM260" s="565"/>
      <c r="VZN260" s="565"/>
      <c r="VZO260" s="565"/>
      <c r="VZP260" s="565"/>
      <c r="VZQ260" s="565"/>
      <c r="VZR260" s="565"/>
      <c r="VZS260" s="565"/>
      <c r="VZT260" s="565"/>
      <c r="VZU260" s="565"/>
      <c r="VZV260" s="565"/>
      <c r="VZW260" s="565"/>
      <c r="VZX260" s="565"/>
      <c r="VZY260" s="565"/>
      <c r="VZZ260" s="565"/>
      <c r="WAA260" s="565"/>
      <c r="WAB260" s="565"/>
      <c r="WAC260" s="565"/>
      <c r="WAD260" s="565"/>
      <c r="WAE260" s="565"/>
      <c r="WAF260" s="566"/>
      <c r="WAG260" s="565"/>
      <c r="WAH260" s="565"/>
      <c r="WAI260" s="565"/>
      <c r="WAJ260" s="565"/>
      <c r="WAK260" s="565"/>
      <c r="WAL260" s="565"/>
      <c r="WAM260" s="565"/>
      <c r="WAN260" s="565"/>
      <c r="WAO260" s="565"/>
      <c r="WAP260" s="565"/>
      <c r="WAQ260" s="565"/>
      <c r="WAR260" s="565"/>
      <c r="WAS260" s="565"/>
      <c r="WAT260" s="565"/>
      <c r="WAU260" s="565"/>
      <c r="WAV260" s="565"/>
      <c r="WAW260" s="565"/>
      <c r="WAX260" s="565"/>
      <c r="WAY260" s="565"/>
      <c r="WAZ260" s="566"/>
      <c r="WBA260" s="565"/>
      <c r="WBB260" s="565"/>
      <c r="WBC260" s="565"/>
      <c r="WBD260" s="565"/>
      <c r="WBE260" s="565"/>
      <c r="WBF260" s="565"/>
      <c r="WBG260" s="565"/>
      <c r="WBH260" s="565"/>
      <c r="WBI260" s="565"/>
      <c r="WBJ260" s="565"/>
      <c r="WBK260" s="565"/>
      <c r="WBL260" s="565"/>
      <c r="WBM260" s="565"/>
      <c r="WBN260" s="565"/>
      <c r="WBO260" s="565"/>
      <c r="WBP260" s="565"/>
      <c r="WBQ260" s="565"/>
      <c r="WBR260" s="565"/>
      <c r="WBS260" s="565"/>
      <c r="WBT260" s="566"/>
      <c r="WBU260" s="565"/>
      <c r="WBV260" s="565"/>
      <c r="WBW260" s="565"/>
      <c r="WBX260" s="565"/>
      <c r="WBY260" s="565"/>
      <c r="WBZ260" s="565"/>
      <c r="WCA260" s="565"/>
      <c r="WCB260" s="565"/>
      <c r="WCC260" s="565"/>
      <c r="WCD260" s="565"/>
      <c r="WCE260" s="565"/>
      <c r="WCF260" s="565"/>
      <c r="WCG260" s="565"/>
      <c r="WCH260" s="565"/>
      <c r="WCI260" s="565"/>
      <c r="WCJ260" s="565"/>
      <c r="WCK260" s="565"/>
      <c r="WCL260" s="565"/>
      <c r="WCM260" s="565"/>
      <c r="WCN260" s="566"/>
      <c r="WCO260" s="565"/>
      <c r="WCP260" s="565"/>
      <c r="WCQ260" s="565"/>
      <c r="WCR260" s="565"/>
      <c r="WCS260" s="565"/>
      <c r="WCT260" s="565"/>
      <c r="WCU260" s="565"/>
      <c r="WCV260" s="565"/>
      <c r="WCW260" s="565"/>
      <c r="WCX260" s="565"/>
      <c r="WCY260" s="565"/>
      <c r="WCZ260" s="565"/>
      <c r="WDA260" s="565"/>
      <c r="WDB260" s="565"/>
      <c r="WDC260" s="565"/>
      <c r="WDD260" s="565"/>
      <c r="WDE260" s="565"/>
      <c r="WDF260" s="565"/>
      <c r="WDG260" s="565"/>
      <c r="WDH260" s="566"/>
      <c r="WDI260" s="565"/>
      <c r="WDJ260" s="565"/>
      <c r="WDK260" s="565"/>
      <c r="WDL260" s="565"/>
      <c r="WDM260" s="565"/>
      <c r="WDN260" s="565"/>
      <c r="WDO260" s="565"/>
      <c r="WDP260" s="565"/>
      <c r="WDQ260" s="565"/>
      <c r="WDR260" s="565"/>
      <c r="WDS260" s="565"/>
      <c r="WDT260" s="565"/>
      <c r="WDU260" s="565"/>
      <c r="WDV260" s="565"/>
      <c r="WDW260" s="565"/>
      <c r="WDX260" s="565"/>
      <c r="WDY260" s="565"/>
      <c r="WDZ260" s="565"/>
      <c r="WEA260" s="565"/>
      <c r="WEB260" s="566"/>
      <c r="WEC260" s="565"/>
      <c r="WED260" s="565"/>
      <c r="WEE260" s="565"/>
      <c r="WEF260" s="565"/>
      <c r="WEG260" s="565"/>
      <c r="WEH260" s="565"/>
      <c r="WEI260" s="565"/>
      <c r="WEJ260" s="565"/>
      <c r="WEK260" s="565"/>
      <c r="WEL260" s="565"/>
      <c r="WEM260" s="565"/>
      <c r="WEN260" s="565"/>
      <c r="WEO260" s="565"/>
      <c r="WEP260" s="565"/>
      <c r="WEQ260" s="565"/>
      <c r="WER260" s="565"/>
      <c r="WES260" s="565"/>
      <c r="WET260" s="565"/>
      <c r="WEU260" s="565"/>
      <c r="WEV260" s="566"/>
      <c r="WEW260" s="565"/>
      <c r="WEX260" s="565"/>
      <c r="WEY260" s="565"/>
      <c r="WEZ260" s="565"/>
      <c r="WFA260" s="565"/>
      <c r="WFB260" s="565"/>
      <c r="WFC260" s="565"/>
      <c r="WFD260" s="565"/>
      <c r="WFE260" s="565"/>
      <c r="WFF260" s="565"/>
      <c r="WFG260" s="565"/>
      <c r="WFH260" s="565"/>
      <c r="WFI260" s="565"/>
      <c r="WFJ260" s="565"/>
      <c r="WFK260" s="565"/>
      <c r="WFL260" s="565"/>
      <c r="WFM260" s="565"/>
      <c r="WFN260" s="565"/>
      <c r="WFO260" s="565"/>
      <c r="WFP260" s="566"/>
      <c r="WFQ260" s="565"/>
      <c r="WFR260" s="565"/>
      <c r="WFS260" s="565"/>
      <c r="WFT260" s="565"/>
      <c r="WFU260" s="565"/>
      <c r="WFV260" s="565"/>
      <c r="WFW260" s="565"/>
      <c r="WFX260" s="565"/>
      <c r="WFY260" s="565"/>
      <c r="WFZ260" s="565"/>
      <c r="WGA260" s="565"/>
      <c r="WGB260" s="565"/>
      <c r="WGC260" s="565"/>
      <c r="WGD260" s="565"/>
      <c r="WGE260" s="565"/>
      <c r="WGF260" s="565"/>
      <c r="WGG260" s="565"/>
      <c r="WGH260" s="565"/>
      <c r="WGI260" s="565"/>
      <c r="WGJ260" s="566"/>
      <c r="WGK260" s="565"/>
      <c r="WGL260" s="565"/>
      <c r="WGM260" s="565"/>
      <c r="WGN260" s="565"/>
      <c r="WGO260" s="565"/>
      <c r="WGP260" s="565"/>
      <c r="WGQ260" s="565"/>
      <c r="WGR260" s="565"/>
      <c r="WGS260" s="565"/>
      <c r="WGT260" s="565"/>
      <c r="WGU260" s="565"/>
      <c r="WGV260" s="565"/>
      <c r="WGW260" s="565"/>
      <c r="WGX260" s="565"/>
      <c r="WGY260" s="565"/>
      <c r="WGZ260" s="565"/>
      <c r="WHA260" s="565"/>
      <c r="WHB260" s="565"/>
      <c r="WHC260" s="565"/>
      <c r="WHD260" s="566"/>
      <c r="WHE260" s="565"/>
      <c r="WHF260" s="565"/>
      <c r="WHG260" s="565"/>
      <c r="WHH260" s="565"/>
      <c r="WHI260" s="565"/>
      <c r="WHJ260" s="565"/>
      <c r="WHK260" s="565"/>
      <c r="WHL260" s="565"/>
      <c r="WHM260" s="565"/>
      <c r="WHN260" s="565"/>
      <c r="WHO260" s="565"/>
      <c r="WHP260" s="565"/>
      <c r="WHQ260" s="565"/>
      <c r="WHR260" s="565"/>
      <c r="WHS260" s="565"/>
      <c r="WHT260" s="565"/>
      <c r="WHU260" s="565"/>
      <c r="WHV260" s="565"/>
      <c r="WHW260" s="565"/>
      <c r="WHX260" s="566"/>
      <c r="WHY260" s="565"/>
      <c r="WHZ260" s="565"/>
      <c r="WIA260" s="565"/>
      <c r="WIB260" s="565"/>
      <c r="WIC260" s="565"/>
      <c r="WID260" s="565"/>
      <c r="WIE260" s="565"/>
      <c r="WIF260" s="565"/>
      <c r="WIG260" s="565"/>
      <c r="WIH260" s="565"/>
      <c r="WII260" s="565"/>
      <c r="WIJ260" s="565"/>
      <c r="WIK260" s="565"/>
      <c r="WIL260" s="565"/>
      <c r="WIM260" s="565"/>
      <c r="WIN260" s="565"/>
      <c r="WIO260" s="565"/>
      <c r="WIP260" s="565"/>
      <c r="WIQ260" s="565"/>
      <c r="WIR260" s="566"/>
      <c r="WIS260" s="565"/>
      <c r="WIT260" s="565"/>
      <c r="WIU260" s="565"/>
      <c r="WIV260" s="565"/>
      <c r="WIW260" s="565"/>
      <c r="WIX260" s="565"/>
      <c r="WIY260" s="565"/>
      <c r="WIZ260" s="565"/>
      <c r="WJA260" s="565"/>
      <c r="WJB260" s="565"/>
      <c r="WJC260" s="565"/>
      <c r="WJD260" s="565"/>
      <c r="WJE260" s="565"/>
      <c r="WJF260" s="565"/>
      <c r="WJG260" s="565"/>
      <c r="WJH260" s="565"/>
      <c r="WJI260" s="565"/>
      <c r="WJJ260" s="565"/>
      <c r="WJK260" s="565"/>
      <c r="WJL260" s="566"/>
      <c r="WJM260" s="565"/>
      <c r="WJN260" s="565"/>
      <c r="WJO260" s="565"/>
      <c r="WJP260" s="565"/>
      <c r="WJQ260" s="565"/>
      <c r="WJR260" s="565"/>
      <c r="WJS260" s="565"/>
      <c r="WJT260" s="565"/>
      <c r="WJU260" s="565"/>
      <c r="WJV260" s="565"/>
      <c r="WJW260" s="565"/>
      <c r="WJX260" s="565"/>
      <c r="WJY260" s="565"/>
      <c r="WJZ260" s="565"/>
      <c r="WKA260" s="565"/>
      <c r="WKB260" s="565"/>
      <c r="WKC260" s="565"/>
      <c r="WKD260" s="565"/>
      <c r="WKE260" s="565"/>
      <c r="WKF260" s="566"/>
      <c r="WKG260" s="565"/>
      <c r="WKH260" s="565"/>
      <c r="WKI260" s="565"/>
      <c r="WKJ260" s="565"/>
      <c r="WKK260" s="565"/>
      <c r="WKL260" s="565"/>
      <c r="WKM260" s="565"/>
      <c r="WKN260" s="565"/>
      <c r="WKO260" s="565"/>
      <c r="WKP260" s="565"/>
      <c r="WKQ260" s="565"/>
      <c r="WKR260" s="565"/>
      <c r="WKS260" s="565"/>
      <c r="WKT260" s="565"/>
      <c r="WKU260" s="565"/>
      <c r="WKV260" s="565"/>
      <c r="WKW260" s="565"/>
      <c r="WKX260" s="565"/>
      <c r="WKY260" s="565"/>
      <c r="WKZ260" s="566"/>
      <c r="WLA260" s="565"/>
      <c r="WLB260" s="565"/>
      <c r="WLC260" s="565"/>
      <c r="WLD260" s="565"/>
      <c r="WLE260" s="565"/>
      <c r="WLF260" s="565"/>
      <c r="WLG260" s="565"/>
      <c r="WLH260" s="565"/>
      <c r="WLI260" s="565"/>
      <c r="WLJ260" s="565"/>
      <c r="WLK260" s="565"/>
      <c r="WLL260" s="565"/>
      <c r="WLM260" s="565"/>
      <c r="WLN260" s="565"/>
      <c r="WLO260" s="565"/>
      <c r="WLP260" s="565"/>
      <c r="WLQ260" s="565"/>
      <c r="WLR260" s="565"/>
      <c r="WLS260" s="565"/>
      <c r="WLT260" s="566"/>
      <c r="WLU260" s="565"/>
      <c r="WLV260" s="565"/>
      <c r="WLW260" s="565"/>
      <c r="WLX260" s="565"/>
      <c r="WLY260" s="565"/>
      <c r="WLZ260" s="565"/>
      <c r="WMA260" s="565"/>
      <c r="WMB260" s="565"/>
      <c r="WMC260" s="565"/>
      <c r="WMD260" s="565"/>
      <c r="WME260" s="565"/>
      <c r="WMF260" s="565"/>
      <c r="WMG260" s="565"/>
      <c r="WMH260" s="565"/>
      <c r="WMI260" s="565"/>
      <c r="WMJ260" s="565"/>
      <c r="WMK260" s="565"/>
      <c r="WML260" s="565"/>
      <c r="WMM260" s="565"/>
      <c r="WMN260" s="566"/>
      <c r="WMO260" s="565"/>
      <c r="WMP260" s="565"/>
      <c r="WMQ260" s="565"/>
      <c r="WMR260" s="565"/>
      <c r="WMS260" s="565"/>
      <c r="WMT260" s="565"/>
      <c r="WMU260" s="565"/>
      <c r="WMV260" s="565"/>
      <c r="WMW260" s="565"/>
      <c r="WMX260" s="565"/>
      <c r="WMY260" s="565"/>
      <c r="WMZ260" s="565"/>
      <c r="WNA260" s="565"/>
      <c r="WNB260" s="565"/>
      <c r="WNC260" s="565"/>
      <c r="WND260" s="565"/>
      <c r="WNE260" s="565"/>
      <c r="WNF260" s="565"/>
      <c r="WNG260" s="565"/>
      <c r="WNH260" s="566"/>
      <c r="WNI260" s="565"/>
      <c r="WNJ260" s="565"/>
      <c r="WNK260" s="565"/>
      <c r="WNL260" s="565"/>
      <c r="WNM260" s="565"/>
      <c r="WNN260" s="565"/>
      <c r="WNO260" s="565"/>
      <c r="WNP260" s="565"/>
      <c r="WNQ260" s="565"/>
      <c r="WNR260" s="565"/>
      <c r="WNS260" s="565"/>
      <c r="WNT260" s="565"/>
      <c r="WNU260" s="565"/>
      <c r="WNV260" s="565"/>
      <c r="WNW260" s="565"/>
      <c r="WNX260" s="565"/>
      <c r="WNY260" s="565"/>
      <c r="WNZ260" s="565"/>
      <c r="WOA260" s="565"/>
      <c r="WOB260" s="566"/>
      <c r="WOC260" s="565"/>
      <c r="WOD260" s="565"/>
      <c r="WOE260" s="565"/>
      <c r="WOF260" s="565"/>
      <c r="WOG260" s="565"/>
      <c r="WOH260" s="565"/>
      <c r="WOI260" s="565"/>
      <c r="WOJ260" s="565"/>
      <c r="WOK260" s="565"/>
      <c r="WOL260" s="565"/>
      <c r="WOM260" s="565"/>
      <c r="WON260" s="565"/>
      <c r="WOO260" s="565"/>
      <c r="WOP260" s="565"/>
      <c r="WOQ260" s="565"/>
      <c r="WOR260" s="565"/>
      <c r="WOS260" s="565"/>
      <c r="WOT260" s="565"/>
      <c r="WOU260" s="565"/>
      <c r="WOV260" s="566"/>
      <c r="WOW260" s="565"/>
      <c r="WOX260" s="565"/>
      <c r="WOY260" s="565"/>
      <c r="WOZ260" s="565"/>
      <c r="WPA260" s="565"/>
      <c r="WPB260" s="565"/>
      <c r="WPC260" s="565"/>
      <c r="WPD260" s="565"/>
      <c r="WPE260" s="565"/>
      <c r="WPF260" s="565"/>
      <c r="WPG260" s="565"/>
      <c r="WPH260" s="565"/>
      <c r="WPI260" s="565"/>
      <c r="WPJ260" s="565"/>
      <c r="WPK260" s="565"/>
      <c r="WPL260" s="565"/>
      <c r="WPM260" s="565"/>
      <c r="WPN260" s="565"/>
      <c r="WPO260" s="565"/>
      <c r="WPP260" s="566"/>
      <c r="WPQ260" s="565"/>
      <c r="WPR260" s="565"/>
      <c r="WPS260" s="565"/>
      <c r="WPT260" s="565"/>
      <c r="WPU260" s="565"/>
      <c r="WPV260" s="565"/>
      <c r="WPW260" s="565"/>
      <c r="WPX260" s="565"/>
      <c r="WPY260" s="565"/>
      <c r="WPZ260" s="565"/>
      <c r="WQA260" s="565"/>
      <c r="WQB260" s="565"/>
      <c r="WQC260" s="565"/>
      <c r="WQD260" s="565"/>
      <c r="WQE260" s="565"/>
      <c r="WQF260" s="565"/>
      <c r="WQG260" s="565"/>
      <c r="WQH260" s="565"/>
      <c r="WQI260" s="565"/>
      <c r="WQJ260" s="566"/>
      <c r="WQK260" s="565"/>
      <c r="WQL260" s="565"/>
      <c r="WQM260" s="565"/>
      <c r="WQN260" s="565"/>
      <c r="WQO260" s="565"/>
      <c r="WQP260" s="565"/>
      <c r="WQQ260" s="565"/>
      <c r="WQR260" s="565"/>
      <c r="WQS260" s="565"/>
      <c r="WQT260" s="565"/>
      <c r="WQU260" s="565"/>
      <c r="WQV260" s="565"/>
      <c r="WQW260" s="565"/>
      <c r="WQX260" s="565"/>
      <c r="WQY260" s="565"/>
      <c r="WQZ260" s="565"/>
      <c r="WRA260" s="565"/>
      <c r="WRB260" s="565"/>
      <c r="WRC260" s="565"/>
      <c r="WRD260" s="566"/>
      <c r="WRE260" s="565"/>
      <c r="WRF260" s="565"/>
      <c r="WRG260" s="565"/>
      <c r="WRH260" s="565"/>
      <c r="WRI260" s="565"/>
      <c r="WRJ260" s="565"/>
      <c r="WRK260" s="565"/>
      <c r="WRL260" s="565"/>
      <c r="WRM260" s="565"/>
      <c r="WRN260" s="565"/>
      <c r="WRO260" s="565"/>
      <c r="WRP260" s="565"/>
      <c r="WRQ260" s="565"/>
      <c r="WRR260" s="565"/>
      <c r="WRS260" s="565"/>
      <c r="WRT260" s="565"/>
      <c r="WRU260" s="565"/>
      <c r="WRV260" s="565"/>
      <c r="WRW260" s="565"/>
      <c r="WRX260" s="566"/>
      <c r="WRY260" s="565"/>
      <c r="WRZ260" s="565"/>
      <c r="WSA260" s="565"/>
      <c r="WSB260" s="565"/>
      <c r="WSC260" s="565"/>
      <c r="WSD260" s="565"/>
      <c r="WSE260" s="565"/>
      <c r="WSF260" s="565"/>
      <c r="WSG260" s="565"/>
      <c r="WSH260" s="565"/>
      <c r="WSI260" s="565"/>
      <c r="WSJ260" s="565"/>
      <c r="WSK260" s="565"/>
      <c r="WSL260" s="565"/>
      <c r="WSM260" s="565"/>
      <c r="WSN260" s="565"/>
      <c r="WSO260" s="565"/>
      <c r="WSP260" s="565"/>
      <c r="WSQ260" s="565"/>
      <c r="WSR260" s="566"/>
      <c r="WSS260" s="565"/>
      <c r="WST260" s="565"/>
      <c r="WSU260" s="565"/>
      <c r="WSV260" s="565"/>
      <c r="WSW260" s="565"/>
      <c r="WSX260" s="565"/>
      <c r="WSY260" s="565"/>
      <c r="WSZ260" s="565"/>
      <c r="WTA260" s="565"/>
      <c r="WTB260" s="565"/>
      <c r="WTC260" s="565"/>
      <c r="WTD260" s="565"/>
      <c r="WTE260" s="565"/>
      <c r="WTF260" s="565"/>
      <c r="WTG260" s="565"/>
      <c r="WTH260" s="565"/>
      <c r="WTI260" s="565"/>
      <c r="WTJ260" s="565"/>
      <c r="WTK260" s="565"/>
      <c r="WTL260" s="566"/>
      <c r="WTM260" s="565"/>
      <c r="WTN260" s="565"/>
      <c r="WTO260" s="565"/>
      <c r="WTP260" s="565"/>
      <c r="WTQ260" s="565"/>
      <c r="WTR260" s="565"/>
      <c r="WTS260" s="565"/>
      <c r="WTT260" s="565"/>
      <c r="WTU260" s="565"/>
      <c r="WTV260" s="565"/>
      <c r="WTW260" s="565"/>
      <c r="WTX260" s="565"/>
      <c r="WTY260" s="565"/>
      <c r="WTZ260" s="565"/>
      <c r="WUA260" s="565"/>
      <c r="WUB260" s="565"/>
      <c r="WUC260" s="565"/>
      <c r="WUD260" s="565"/>
      <c r="WUE260" s="565"/>
      <c r="WUF260" s="566"/>
      <c r="WUG260" s="565"/>
      <c r="WUH260" s="565"/>
      <c r="WUI260" s="565"/>
      <c r="WUJ260" s="565"/>
      <c r="WUK260" s="565"/>
      <c r="WUL260" s="565"/>
      <c r="WUM260" s="565"/>
      <c r="WUN260" s="565"/>
      <c r="WUO260" s="565"/>
      <c r="WUP260" s="565"/>
      <c r="WUQ260" s="565"/>
      <c r="WUR260" s="565"/>
      <c r="WUS260" s="565"/>
      <c r="WUT260" s="565"/>
      <c r="WUU260" s="565"/>
      <c r="WUV260" s="565"/>
      <c r="WUW260" s="565"/>
      <c r="WUX260" s="565"/>
      <c r="WUY260" s="565"/>
      <c r="WUZ260" s="566"/>
      <c r="WVA260" s="565"/>
      <c r="WVB260" s="565"/>
      <c r="WVC260" s="565"/>
      <c r="WVD260" s="565"/>
      <c r="WVE260" s="565"/>
      <c r="WVF260" s="565"/>
      <c r="WVG260" s="565"/>
      <c r="WVH260" s="565"/>
      <c r="WVI260" s="565"/>
      <c r="WVJ260" s="565"/>
      <c r="WVK260" s="565"/>
      <c r="WVL260" s="565"/>
      <c r="WVM260" s="565"/>
      <c r="WVN260" s="565"/>
      <c r="WVO260" s="565"/>
      <c r="WVP260" s="565"/>
      <c r="WVQ260" s="565"/>
      <c r="WVR260" s="565"/>
      <c r="WVS260" s="565"/>
      <c r="WVT260" s="566"/>
      <c r="WVU260" s="565"/>
      <c r="WVV260" s="565"/>
      <c r="WVW260" s="565"/>
      <c r="WVX260" s="565"/>
      <c r="WVY260" s="565"/>
      <c r="WVZ260" s="565"/>
      <c r="WWA260" s="565"/>
      <c r="WWB260" s="565"/>
      <c r="WWC260" s="565"/>
      <c r="WWD260" s="565"/>
      <c r="WWE260" s="565"/>
      <c r="WWF260" s="565"/>
      <c r="WWG260" s="565"/>
      <c r="WWH260" s="565"/>
      <c r="WWI260" s="565"/>
      <c r="WWJ260" s="565"/>
      <c r="WWK260" s="565"/>
      <c r="WWL260" s="565"/>
      <c r="WWM260" s="565"/>
      <c r="WWN260" s="566"/>
      <c r="WWO260" s="565"/>
      <c r="WWP260" s="565"/>
      <c r="WWQ260" s="565"/>
      <c r="WWR260" s="565"/>
      <c r="WWS260" s="565"/>
      <c r="WWT260" s="565"/>
      <c r="WWU260" s="565"/>
      <c r="WWV260" s="565"/>
      <c r="WWW260" s="565"/>
      <c r="WWX260" s="565"/>
      <c r="WWY260" s="565"/>
      <c r="WWZ260" s="565"/>
      <c r="WXA260" s="565"/>
      <c r="WXB260" s="565"/>
      <c r="WXC260" s="565"/>
      <c r="WXD260" s="565"/>
      <c r="WXE260" s="565"/>
      <c r="WXF260" s="565"/>
      <c r="WXG260" s="565"/>
      <c r="WXH260" s="566"/>
      <c r="WXI260" s="565"/>
      <c r="WXJ260" s="565"/>
      <c r="WXK260" s="565"/>
      <c r="WXL260" s="565"/>
      <c r="WXM260" s="565"/>
      <c r="WXN260" s="565"/>
      <c r="WXO260" s="565"/>
      <c r="WXP260" s="565"/>
      <c r="WXQ260" s="565"/>
      <c r="WXR260" s="565"/>
      <c r="WXS260" s="565"/>
      <c r="WXT260" s="565"/>
      <c r="WXU260" s="565"/>
      <c r="WXV260" s="565"/>
      <c r="WXW260" s="565"/>
      <c r="WXX260" s="565"/>
      <c r="WXY260" s="565"/>
      <c r="WXZ260" s="565"/>
      <c r="WYA260" s="565"/>
      <c r="WYB260" s="566"/>
      <c r="WYC260" s="565"/>
      <c r="WYD260" s="565"/>
      <c r="WYE260" s="565"/>
      <c r="WYF260" s="565"/>
      <c r="WYG260" s="565"/>
      <c r="WYH260" s="565"/>
      <c r="WYI260" s="565"/>
      <c r="WYJ260" s="565"/>
      <c r="WYK260" s="565"/>
      <c r="WYL260" s="565"/>
      <c r="WYM260" s="565"/>
      <c r="WYN260" s="565"/>
      <c r="WYO260" s="565"/>
      <c r="WYP260" s="565"/>
      <c r="WYQ260" s="565"/>
      <c r="WYR260" s="565"/>
      <c r="WYS260" s="565"/>
      <c r="WYT260" s="565"/>
      <c r="WYU260" s="565"/>
      <c r="WYV260" s="566"/>
      <c r="WYW260" s="565"/>
      <c r="WYX260" s="565"/>
      <c r="WYY260" s="565"/>
      <c r="WYZ260" s="565"/>
      <c r="WZA260" s="565"/>
      <c r="WZB260" s="565"/>
      <c r="WZC260" s="565"/>
      <c r="WZD260" s="565"/>
      <c r="WZE260" s="565"/>
      <c r="WZF260" s="565"/>
      <c r="WZG260" s="565"/>
      <c r="WZH260" s="565"/>
      <c r="WZI260" s="565"/>
      <c r="WZJ260" s="565"/>
      <c r="WZK260" s="565"/>
      <c r="WZL260" s="565"/>
      <c r="WZM260" s="565"/>
      <c r="WZN260" s="565"/>
      <c r="WZO260" s="565"/>
      <c r="WZP260" s="566"/>
      <c r="WZQ260" s="565"/>
      <c r="WZR260" s="565"/>
      <c r="WZS260" s="565"/>
      <c r="WZT260" s="565"/>
      <c r="WZU260" s="565"/>
      <c r="WZV260" s="565"/>
      <c r="WZW260" s="565"/>
      <c r="WZX260" s="565"/>
      <c r="WZY260" s="565"/>
      <c r="WZZ260" s="565"/>
      <c r="XAA260" s="565"/>
      <c r="XAB260" s="565"/>
      <c r="XAC260" s="565"/>
      <c r="XAD260" s="565"/>
      <c r="XAE260" s="565"/>
      <c r="XAF260" s="565"/>
      <c r="XAG260" s="565"/>
      <c r="XAH260" s="565"/>
      <c r="XAI260" s="565"/>
      <c r="XAJ260" s="566"/>
      <c r="XAK260" s="565"/>
      <c r="XAL260" s="565"/>
      <c r="XAM260" s="565"/>
      <c r="XAN260" s="565"/>
      <c r="XAO260" s="565"/>
      <c r="XAP260" s="565"/>
      <c r="XAQ260" s="565"/>
      <c r="XAR260" s="565"/>
      <c r="XAS260" s="565"/>
      <c r="XAT260" s="565"/>
      <c r="XAU260" s="565"/>
      <c r="XAV260" s="565"/>
      <c r="XAW260" s="565"/>
      <c r="XAX260" s="565"/>
      <c r="XAY260" s="565"/>
      <c r="XAZ260" s="565"/>
      <c r="XBA260" s="565"/>
      <c r="XBB260" s="565"/>
      <c r="XBC260" s="565"/>
      <c r="XBD260" s="566"/>
      <c r="XBE260" s="565"/>
      <c r="XBF260" s="565"/>
      <c r="XBG260" s="565"/>
      <c r="XBH260" s="565"/>
      <c r="XBI260" s="565"/>
      <c r="XBJ260" s="565"/>
      <c r="XBK260" s="565"/>
      <c r="XBL260" s="565"/>
      <c r="XBM260" s="565"/>
      <c r="XBN260" s="565"/>
      <c r="XBO260" s="565"/>
      <c r="XBP260" s="565"/>
      <c r="XBQ260" s="565"/>
      <c r="XBR260" s="565"/>
      <c r="XBS260" s="565"/>
      <c r="XBT260" s="565"/>
      <c r="XBU260" s="565"/>
      <c r="XBV260" s="565"/>
      <c r="XBW260" s="565"/>
      <c r="XBX260" s="566"/>
      <c r="XBY260" s="565"/>
      <c r="XBZ260" s="565"/>
      <c r="XCA260" s="565"/>
      <c r="XCB260" s="565"/>
      <c r="XCC260" s="565"/>
      <c r="XCD260" s="565"/>
      <c r="XCE260" s="565"/>
      <c r="XCF260" s="565"/>
      <c r="XCG260" s="565"/>
      <c r="XCH260" s="565"/>
      <c r="XCI260" s="565"/>
      <c r="XCJ260" s="565"/>
      <c r="XCK260" s="565"/>
      <c r="XCL260" s="565"/>
      <c r="XCM260" s="565"/>
      <c r="XCN260" s="565"/>
      <c r="XCO260" s="565"/>
      <c r="XCP260" s="565"/>
      <c r="XCQ260" s="565"/>
      <c r="XCR260" s="566"/>
      <c r="XCS260" s="565"/>
      <c r="XCT260" s="565"/>
      <c r="XCU260" s="565"/>
      <c r="XCV260" s="565"/>
      <c r="XCW260" s="565"/>
      <c r="XCX260" s="565"/>
      <c r="XCY260" s="565"/>
      <c r="XCZ260" s="565"/>
      <c r="XDA260" s="565"/>
      <c r="XDB260" s="565"/>
      <c r="XDC260" s="565"/>
      <c r="XDD260" s="565"/>
      <c r="XDE260" s="565"/>
      <c r="XDF260" s="565"/>
      <c r="XDG260" s="565"/>
      <c r="XDH260" s="565"/>
      <c r="XDI260" s="565"/>
      <c r="XDJ260" s="565"/>
      <c r="XDK260" s="565"/>
      <c r="XDL260" s="566"/>
      <c r="XDM260" s="565"/>
      <c r="XDN260" s="565"/>
      <c r="XDO260" s="565"/>
      <c r="XDP260" s="565"/>
      <c r="XDQ260" s="565"/>
      <c r="XDR260" s="565"/>
      <c r="XDS260" s="565"/>
      <c r="XDT260" s="565"/>
      <c r="XDU260" s="565"/>
      <c r="XDV260" s="565"/>
      <c r="XDW260" s="565"/>
      <c r="XDX260" s="565"/>
      <c r="XDY260" s="565"/>
      <c r="XDZ260" s="565"/>
      <c r="XEA260" s="565"/>
      <c r="XEB260" s="565"/>
      <c r="XEC260" s="565"/>
      <c r="XED260" s="565"/>
      <c r="XEE260" s="565"/>
      <c r="XEF260" s="566"/>
      <c r="XEG260" s="565"/>
      <c r="XEH260" s="565"/>
      <c r="XEI260" s="565"/>
      <c r="XEJ260" s="565"/>
      <c r="XEK260" s="565"/>
      <c r="XEL260" s="565"/>
      <c r="XEM260" s="565"/>
      <c r="XEN260" s="565"/>
      <c r="XEO260" s="565"/>
      <c r="XEP260" s="565"/>
      <c r="XEQ260" s="565"/>
      <c r="XER260" s="565"/>
      <c r="XES260" s="565"/>
    </row>
    <row r="261" spans="1:16373" s="1" customFormat="1" ht="22.5" customHeight="1" thickTop="1" thickBot="1" x14ac:dyDescent="0.3">
      <c r="A261" s="564" t="s">
        <v>127</v>
      </c>
      <c r="B261" s="565" t="s">
        <v>134</v>
      </c>
      <c r="C261" s="565" t="s">
        <v>146</v>
      </c>
      <c r="D261" s="565" t="s">
        <v>129</v>
      </c>
      <c r="E261" s="565" t="s">
        <v>139</v>
      </c>
      <c r="F261" s="565"/>
      <c r="G261" s="565"/>
      <c r="H261" s="91"/>
      <c r="I261" s="91"/>
      <c r="J261" s="566" t="s">
        <v>1432</v>
      </c>
      <c r="K261" s="1138">
        <f>+K262+K263+K264+K265+K266</f>
        <v>0</v>
      </c>
      <c r="L261" s="1138">
        <f>+L262+L263+L264+L265+L266</f>
        <v>0</v>
      </c>
      <c r="M261" s="1138">
        <f>+M262+M263+M264+M265+M266</f>
        <v>0</v>
      </c>
      <c r="N261" s="1138">
        <f t="shared" si="97"/>
        <v>0</v>
      </c>
      <c r="O261" s="1138">
        <f t="shared" ref="O261:T261" si="103">+O262+O263+O264+O265+O266</f>
        <v>0</v>
      </c>
      <c r="P261" s="1138">
        <f t="shared" si="103"/>
        <v>0</v>
      </c>
      <c r="Q261" s="1138">
        <f t="shared" si="103"/>
        <v>0</v>
      </c>
      <c r="R261" s="1138">
        <f t="shared" si="103"/>
        <v>0</v>
      </c>
      <c r="S261" s="1138">
        <f t="shared" si="103"/>
        <v>0</v>
      </c>
      <c r="T261" s="1138">
        <f t="shared" si="103"/>
        <v>0</v>
      </c>
      <c r="U261" s="1133" t="e">
        <f t="shared" si="84"/>
        <v>#DIV/0!</v>
      </c>
      <c r="V261" s="565"/>
      <c r="W261" s="564"/>
      <c r="X261" s="564"/>
      <c r="Y261" s="1113" t="s">
        <v>1136</v>
      </c>
    </row>
    <row r="262" spans="1:16373" ht="22.5" customHeight="1" thickTop="1" thickBot="1" x14ac:dyDescent="0.3">
      <c r="A262" s="28" t="s">
        <v>127</v>
      </c>
      <c r="B262" s="91" t="s">
        <v>134</v>
      </c>
      <c r="C262" s="91" t="s">
        <v>146</v>
      </c>
      <c r="D262" s="91" t="s">
        <v>129</v>
      </c>
      <c r="E262" s="91" t="s">
        <v>139</v>
      </c>
      <c r="F262" s="565" t="s">
        <v>129</v>
      </c>
      <c r="G262" s="91"/>
      <c r="H262" s="91"/>
      <c r="I262" s="91"/>
      <c r="J262" s="88" t="s">
        <v>1433</v>
      </c>
      <c r="K262" s="1139"/>
      <c r="L262" s="1139"/>
      <c r="M262" s="1139"/>
      <c r="N262" s="1139">
        <f t="shared" si="97"/>
        <v>0</v>
      </c>
      <c r="O262" s="1139"/>
      <c r="P262" s="1139"/>
      <c r="Q262" s="1139"/>
      <c r="R262" s="1139"/>
      <c r="S262" s="1139"/>
      <c r="T262" s="1139"/>
      <c r="U262" s="1134" t="e">
        <f t="shared" si="84"/>
        <v>#DIV/0!</v>
      </c>
      <c r="V262" s="91"/>
      <c r="W262" s="28"/>
      <c r="X262" s="28"/>
      <c r="Y262" s="1113" t="s">
        <v>1136</v>
      </c>
    </row>
    <row r="263" spans="1:16373" ht="22.5" customHeight="1" thickTop="1" thickBot="1" x14ac:dyDescent="0.3">
      <c r="A263" s="28" t="s">
        <v>127</v>
      </c>
      <c r="B263" s="91" t="s">
        <v>134</v>
      </c>
      <c r="C263" s="91" t="s">
        <v>146</v>
      </c>
      <c r="D263" s="91" t="s">
        <v>129</v>
      </c>
      <c r="E263" s="91" t="s">
        <v>139</v>
      </c>
      <c r="F263" s="565" t="s">
        <v>134</v>
      </c>
      <c r="G263" s="91"/>
      <c r="H263" s="91"/>
      <c r="I263" s="91"/>
      <c r="J263" s="88" t="s">
        <v>1434</v>
      </c>
      <c r="K263" s="1139"/>
      <c r="L263" s="1139"/>
      <c r="M263" s="1139"/>
      <c r="N263" s="1139">
        <f t="shared" si="97"/>
        <v>0</v>
      </c>
      <c r="O263" s="1139"/>
      <c r="P263" s="1139"/>
      <c r="Q263" s="1139"/>
      <c r="R263" s="1139"/>
      <c r="S263" s="1139"/>
      <c r="T263" s="1139"/>
      <c r="U263" s="1134" t="e">
        <f t="shared" si="84"/>
        <v>#DIV/0!</v>
      </c>
      <c r="V263" s="91"/>
      <c r="W263" s="28"/>
      <c r="X263" s="28"/>
      <c r="Y263" s="1113" t="s">
        <v>1136</v>
      </c>
    </row>
    <row r="264" spans="1:16373" ht="22.5" customHeight="1" thickTop="1" thickBot="1" x14ac:dyDescent="0.3">
      <c r="A264" s="28" t="s">
        <v>127</v>
      </c>
      <c r="B264" s="91" t="s">
        <v>134</v>
      </c>
      <c r="C264" s="91" t="s">
        <v>146</v>
      </c>
      <c r="D264" s="91" t="s">
        <v>129</v>
      </c>
      <c r="E264" s="91" t="s">
        <v>139</v>
      </c>
      <c r="F264" s="565" t="s">
        <v>139</v>
      </c>
      <c r="G264" s="91"/>
      <c r="H264" s="91"/>
      <c r="I264" s="91"/>
      <c r="J264" s="88" t="s">
        <v>1435</v>
      </c>
      <c r="K264" s="1139"/>
      <c r="L264" s="1139"/>
      <c r="M264" s="1139"/>
      <c r="N264" s="1139">
        <f t="shared" si="97"/>
        <v>0</v>
      </c>
      <c r="O264" s="1139"/>
      <c r="P264" s="1139"/>
      <c r="Q264" s="1139"/>
      <c r="R264" s="1139"/>
      <c r="S264" s="1139"/>
      <c r="T264" s="1139"/>
      <c r="U264" s="1134" t="e">
        <f t="shared" ref="U264:U301" si="104">T264/S264</f>
        <v>#DIV/0!</v>
      </c>
      <c r="V264" s="91"/>
      <c r="W264" s="28"/>
      <c r="X264" s="28"/>
      <c r="Y264" s="1113" t="s">
        <v>1136</v>
      </c>
    </row>
    <row r="265" spans="1:16373" ht="22.5" customHeight="1" thickTop="1" thickBot="1" x14ac:dyDescent="0.3">
      <c r="A265" s="28" t="s">
        <v>127</v>
      </c>
      <c r="B265" s="91" t="s">
        <v>134</v>
      </c>
      <c r="C265" s="91" t="s">
        <v>146</v>
      </c>
      <c r="D265" s="91" t="s">
        <v>129</v>
      </c>
      <c r="E265" s="91" t="s">
        <v>139</v>
      </c>
      <c r="F265" s="565" t="s">
        <v>140</v>
      </c>
      <c r="G265" s="91"/>
      <c r="H265" s="91"/>
      <c r="I265" s="91"/>
      <c r="J265" s="88" t="s">
        <v>1436</v>
      </c>
      <c r="K265" s="1139"/>
      <c r="L265" s="1139"/>
      <c r="M265" s="1139"/>
      <c r="N265" s="1139">
        <f t="shared" si="97"/>
        <v>0</v>
      </c>
      <c r="O265" s="1139"/>
      <c r="P265" s="1139"/>
      <c r="Q265" s="1139"/>
      <c r="R265" s="1139"/>
      <c r="S265" s="1139"/>
      <c r="T265" s="1139"/>
      <c r="U265" s="1134" t="e">
        <f t="shared" si="104"/>
        <v>#DIV/0!</v>
      </c>
      <c r="V265" s="91"/>
      <c r="W265" s="28"/>
      <c r="X265" s="28"/>
      <c r="Y265" s="1113" t="s">
        <v>1136</v>
      </c>
    </row>
    <row r="266" spans="1:16373" ht="22.5" customHeight="1" thickTop="1" thickBot="1" x14ac:dyDescent="0.3">
      <c r="A266" s="28" t="s">
        <v>127</v>
      </c>
      <c r="B266" s="91" t="s">
        <v>134</v>
      </c>
      <c r="C266" s="91" t="s">
        <v>146</v>
      </c>
      <c r="D266" s="91" t="s">
        <v>129</v>
      </c>
      <c r="E266" s="91" t="s">
        <v>139</v>
      </c>
      <c r="F266" s="565" t="s">
        <v>144</v>
      </c>
      <c r="G266" s="91"/>
      <c r="H266" s="91"/>
      <c r="I266" s="91"/>
      <c r="J266" s="88" t="s">
        <v>1437</v>
      </c>
      <c r="K266" s="1139"/>
      <c r="L266" s="1139"/>
      <c r="M266" s="1139"/>
      <c r="N266" s="1139">
        <f t="shared" si="97"/>
        <v>0</v>
      </c>
      <c r="O266" s="1139"/>
      <c r="P266" s="1139"/>
      <c r="Q266" s="1139"/>
      <c r="R266" s="1139"/>
      <c r="S266" s="1139"/>
      <c r="T266" s="1139"/>
      <c r="U266" s="1134" t="e">
        <f t="shared" si="104"/>
        <v>#DIV/0!</v>
      </c>
      <c r="V266" s="91"/>
      <c r="W266" s="28"/>
      <c r="X266" s="28"/>
      <c r="Y266" s="1113" t="s">
        <v>1136</v>
      </c>
    </row>
    <row r="267" spans="1:16373" s="1" customFormat="1" ht="22.5" customHeight="1" thickTop="1" thickBot="1" x14ac:dyDescent="0.3">
      <c r="A267" s="564" t="s">
        <v>127</v>
      </c>
      <c r="B267" s="565" t="s">
        <v>134</v>
      </c>
      <c r="C267" s="565" t="s">
        <v>146</v>
      </c>
      <c r="D267" s="565" t="s">
        <v>129</v>
      </c>
      <c r="E267" s="565" t="s">
        <v>140</v>
      </c>
      <c r="F267" s="565"/>
      <c r="G267" s="565"/>
      <c r="H267" s="91"/>
      <c r="I267" s="91"/>
      <c r="J267" s="566" t="s">
        <v>1438</v>
      </c>
      <c r="K267" s="1138"/>
      <c r="L267" s="1138"/>
      <c r="M267" s="1138"/>
      <c r="N267" s="1138">
        <f t="shared" si="97"/>
        <v>0</v>
      </c>
      <c r="O267" s="1138"/>
      <c r="P267" s="1138"/>
      <c r="Q267" s="1138"/>
      <c r="R267" s="1138"/>
      <c r="S267" s="1138"/>
      <c r="T267" s="1138"/>
      <c r="U267" s="1133" t="e">
        <f t="shared" si="104"/>
        <v>#DIV/0!</v>
      </c>
      <c r="V267" s="565"/>
      <c r="W267" s="564"/>
      <c r="X267" s="564"/>
      <c r="Y267" s="1113" t="s">
        <v>1136</v>
      </c>
    </row>
    <row r="268" spans="1:16373" s="1" customFormat="1" ht="22.5" customHeight="1" thickTop="1" thickBot="1" x14ac:dyDescent="0.3">
      <c r="A268" s="564" t="s">
        <v>127</v>
      </c>
      <c r="B268" s="565" t="s">
        <v>134</v>
      </c>
      <c r="C268" s="565" t="s">
        <v>146</v>
      </c>
      <c r="D268" s="565" t="s">
        <v>129</v>
      </c>
      <c r="E268" s="565" t="s">
        <v>144</v>
      </c>
      <c r="F268" s="565"/>
      <c r="G268" s="565"/>
      <c r="H268" s="91"/>
      <c r="I268" s="91"/>
      <c r="J268" s="566" t="s">
        <v>1439</v>
      </c>
      <c r="K268" s="1138"/>
      <c r="L268" s="1138"/>
      <c r="M268" s="1138"/>
      <c r="N268" s="1138">
        <f t="shared" si="97"/>
        <v>0</v>
      </c>
      <c r="O268" s="1138"/>
      <c r="P268" s="1138"/>
      <c r="Q268" s="1138"/>
      <c r="R268" s="1138"/>
      <c r="S268" s="1138"/>
      <c r="T268" s="1138"/>
      <c r="U268" s="1133" t="e">
        <f t="shared" si="104"/>
        <v>#DIV/0!</v>
      </c>
      <c r="V268" s="565"/>
      <c r="W268" s="564"/>
      <c r="X268" s="564"/>
      <c r="Y268" s="1113" t="s">
        <v>1136</v>
      </c>
    </row>
    <row r="269" spans="1:16373" s="1" customFormat="1" ht="22.5" customHeight="1" thickTop="1" thickBot="1" x14ac:dyDescent="0.3">
      <c r="A269" s="1126" t="s">
        <v>127</v>
      </c>
      <c r="B269" s="1127" t="s">
        <v>134</v>
      </c>
      <c r="C269" s="1127" t="s">
        <v>146</v>
      </c>
      <c r="D269" s="1127" t="s">
        <v>134</v>
      </c>
      <c r="E269" s="1127"/>
      <c r="F269" s="1127"/>
      <c r="G269" s="1127"/>
      <c r="H269" s="1128"/>
      <c r="I269" s="1128"/>
      <c r="J269" s="1129" t="s">
        <v>1440</v>
      </c>
      <c r="K269" s="1136">
        <f>+K270+K272+K273+K279+K280</f>
        <v>0</v>
      </c>
      <c r="L269" s="1136">
        <f>+L270+L272+L273+L279+L280</f>
        <v>0</v>
      </c>
      <c r="M269" s="1136">
        <f>+M270+M272+M273+M279+M280</f>
        <v>0</v>
      </c>
      <c r="N269" s="1136">
        <f t="shared" si="97"/>
        <v>0</v>
      </c>
      <c r="O269" s="1136">
        <f t="shared" ref="O269:T269" si="105">+O270+O272+O273+O279+O280</f>
        <v>0</v>
      </c>
      <c r="P269" s="1136">
        <f t="shared" si="105"/>
        <v>0</v>
      </c>
      <c r="Q269" s="1136">
        <f t="shared" si="105"/>
        <v>0</v>
      </c>
      <c r="R269" s="1136">
        <f t="shared" si="105"/>
        <v>0</v>
      </c>
      <c r="S269" s="1136">
        <f t="shared" si="105"/>
        <v>0</v>
      </c>
      <c r="T269" s="1136">
        <f t="shared" si="105"/>
        <v>0</v>
      </c>
      <c r="U269" s="1131" t="e">
        <f t="shared" si="104"/>
        <v>#DIV/0!</v>
      </c>
      <c r="V269" s="1127"/>
      <c r="W269" s="1127"/>
      <c r="X269" s="1127"/>
      <c r="Y269" s="1113" t="s">
        <v>1136</v>
      </c>
    </row>
    <row r="270" spans="1:16373" s="1" customFormat="1" ht="22.5" customHeight="1" thickTop="1" thickBot="1" x14ac:dyDescent="0.3">
      <c r="A270" s="564" t="s">
        <v>127</v>
      </c>
      <c r="B270" s="565" t="s">
        <v>134</v>
      </c>
      <c r="C270" s="565" t="s">
        <v>146</v>
      </c>
      <c r="D270" s="565" t="s">
        <v>134</v>
      </c>
      <c r="E270" s="565" t="s">
        <v>129</v>
      </c>
      <c r="F270" s="565"/>
      <c r="G270" s="565"/>
      <c r="H270" s="91"/>
      <c r="I270" s="91"/>
      <c r="J270" s="566" t="s">
        <v>1441</v>
      </c>
      <c r="K270" s="1138">
        <f t="shared" ref="K270:T270" si="106">+K271</f>
        <v>0</v>
      </c>
      <c r="L270" s="1138">
        <f>+L271</f>
        <v>0</v>
      </c>
      <c r="M270" s="1138">
        <f>+M271</f>
        <v>0</v>
      </c>
      <c r="N270" s="1138">
        <f t="shared" si="97"/>
        <v>0</v>
      </c>
      <c r="O270" s="1138">
        <f t="shared" si="106"/>
        <v>0</v>
      </c>
      <c r="P270" s="1138">
        <f t="shared" si="106"/>
        <v>0</v>
      </c>
      <c r="Q270" s="1138">
        <f t="shared" si="106"/>
        <v>0</v>
      </c>
      <c r="R270" s="1138">
        <f t="shared" si="106"/>
        <v>0</v>
      </c>
      <c r="S270" s="1138">
        <f t="shared" si="106"/>
        <v>0</v>
      </c>
      <c r="T270" s="1138">
        <f t="shared" si="106"/>
        <v>0</v>
      </c>
      <c r="U270" s="1133" t="e">
        <f t="shared" si="104"/>
        <v>#DIV/0!</v>
      </c>
      <c r="V270" s="565"/>
      <c r="W270" s="564"/>
      <c r="X270" s="564"/>
      <c r="Y270" s="1113" t="s">
        <v>1136</v>
      </c>
    </row>
    <row r="271" spans="1:16373" ht="22.5" customHeight="1" thickTop="1" thickBot="1" x14ac:dyDescent="0.3">
      <c r="A271" s="28" t="s">
        <v>127</v>
      </c>
      <c r="B271" s="91" t="s">
        <v>134</v>
      </c>
      <c r="C271" s="91" t="s">
        <v>146</v>
      </c>
      <c r="D271" s="91" t="s">
        <v>134</v>
      </c>
      <c r="E271" s="91" t="s">
        <v>129</v>
      </c>
      <c r="F271" s="565" t="s">
        <v>129</v>
      </c>
      <c r="G271" s="91"/>
      <c r="H271" s="91"/>
      <c r="I271" s="91"/>
      <c r="J271" s="88" t="s">
        <v>1442</v>
      </c>
      <c r="K271" s="1139"/>
      <c r="L271" s="1139"/>
      <c r="M271" s="1139"/>
      <c r="N271" s="1139">
        <f t="shared" si="97"/>
        <v>0</v>
      </c>
      <c r="O271" s="1139"/>
      <c r="P271" s="1139"/>
      <c r="Q271" s="1139"/>
      <c r="R271" s="1139"/>
      <c r="S271" s="1139"/>
      <c r="T271" s="1139"/>
      <c r="U271" s="1134" t="e">
        <f t="shared" si="104"/>
        <v>#DIV/0!</v>
      </c>
      <c r="V271" s="91"/>
      <c r="W271" s="28"/>
      <c r="X271" s="28"/>
      <c r="Y271" s="1113" t="s">
        <v>1136</v>
      </c>
    </row>
    <row r="272" spans="1:16373" s="1" customFormat="1" ht="22.5" customHeight="1" thickTop="1" thickBot="1" x14ac:dyDescent="0.3">
      <c r="A272" s="564" t="s">
        <v>127</v>
      </c>
      <c r="B272" s="565" t="s">
        <v>134</v>
      </c>
      <c r="C272" s="565" t="s">
        <v>146</v>
      </c>
      <c r="D272" s="565" t="s">
        <v>134</v>
      </c>
      <c r="E272" s="565" t="s">
        <v>134</v>
      </c>
      <c r="F272" s="565"/>
      <c r="G272" s="565"/>
      <c r="H272" s="91"/>
      <c r="I272" s="91"/>
      <c r="J272" s="566" t="s">
        <v>1443</v>
      </c>
      <c r="K272" s="1138"/>
      <c r="L272" s="1138"/>
      <c r="M272" s="1138"/>
      <c r="N272" s="1138">
        <f t="shared" si="97"/>
        <v>0</v>
      </c>
      <c r="O272" s="1138"/>
      <c r="P272" s="1138"/>
      <c r="Q272" s="1138"/>
      <c r="R272" s="1138"/>
      <c r="S272" s="1138"/>
      <c r="T272" s="1138"/>
      <c r="U272" s="1133" t="e">
        <f t="shared" si="104"/>
        <v>#DIV/0!</v>
      </c>
      <c r="V272" s="565"/>
      <c r="W272" s="564"/>
      <c r="X272" s="564"/>
      <c r="Y272" s="1113" t="s">
        <v>1136</v>
      </c>
    </row>
    <row r="273" spans="1:25" s="1" customFormat="1" ht="22.5" customHeight="1" thickTop="1" thickBot="1" x14ac:dyDescent="0.3">
      <c r="A273" s="564" t="s">
        <v>127</v>
      </c>
      <c r="B273" s="565" t="s">
        <v>134</v>
      </c>
      <c r="C273" s="565" t="s">
        <v>146</v>
      </c>
      <c r="D273" s="565" t="s">
        <v>134</v>
      </c>
      <c r="E273" s="565" t="s">
        <v>139</v>
      </c>
      <c r="F273" s="565"/>
      <c r="G273" s="565"/>
      <c r="H273" s="91"/>
      <c r="I273" s="91"/>
      <c r="J273" s="566" t="s">
        <v>1444</v>
      </c>
      <c r="K273" s="1138">
        <f>+K274+K275+K276+K277+K278</f>
        <v>0</v>
      </c>
      <c r="L273" s="1138">
        <f>+L274+L275+L276+L277+L278</f>
        <v>0</v>
      </c>
      <c r="M273" s="1138">
        <f>+M274+M275+M276+M277+M278</f>
        <v>0</v>
      </c>
      <c r="N273" s="1138">
        <f t="shared" si="97"/>
        <v>0</v>
      </c>
      <c r="O273" s="1138">
        <f t="shared" ref="O273:T273" si="107">+O274+O275+O276+O277+O278</f>
        <v>0</v>
      </c>
      <c r="P273" s="1138">
        <f t="shared" si="107"/>
        <v>0</v>
      </c>
      <c r="Q273" s="1138">
        <f t="shared" si="107"/>
        <v>0</v>
      </c>
      <c r="R273" s="1138">
        <f t="shared" si="107"/>
        <v>0</v>
      </c>
      <c r="S273" s="1138">
        <f t="shared" si="107"/>
        <v>0</v>
      </c>
      <c r="T273" s="1138">
        <f t="shared" si="107"/>
        <v>0</v>
      </c>
      <c r="U273" s="1133" t="e">
        <f t="shared" si="104"/>
        <v>#DIV/0!</v>
      </c>
      <c r="V273" s="565"/>
      <c r="W273" s="564"/>
      <c r="X273" s="564"/>
      <c r="Y273" s="1113" t="s">
        <v>1136</v>
      </c>
    </row>
    <row r="274" spans="1:25" ht="22.5" customHeight="1" thickTop="1" thickBot="1" x14ac:dyDescent="0.3">
      <c r="A274" s="28" t="s">
        <v>127</v>
      </c>
      <c r="B274" s="91" t="s">
        <v>134</v>
      </c>
      <c r="C274" s="91" t="s">
        <v>146</v>
      </c>
      <c r="D274" s="91" t="s">
        <v>134</v>
      </c>
      <c r="E274" s="91" t="s">
        <v>139</v>
      </c>
      <c r="F274" s="565" t="s">
        <v>129</v>
      </c>
      <c r="G274" s="91"/>
      <c r="H274" s="91"/>
      <c r="I274" s="91"/>
      <c r="J274" s="88" t="s">
        <v>1445</v>
      </c>
      <c r="K274" s="538"/>
      <c r="L274" s="538"/>
      <c r="M274" s="538"/>
      <c r="N274" s="538">
        <f t="shared" si="97"/>
        <v>0</v>
      </c>
      <c r="O274" s="538"/>
      <c r="P274" s="538"/>
      <c r="Q274" s="538"/>
      <c r="R274" s="538"/>
      <c r="S274" s="538"/>
      <c r="T274" s="538"/>
      <c r="U274" s="1134" t="e">
        <f t="shared" si="104"/>
        <v>#DIV/0!</v>
      </c>
      <c r="V274" s="91"/>
      <c r="W274" s="28"/>
      <c r="X274" s="28"/>
      <c r="Y274" s="1113" t="s">
        <v>1136</v>
      </c>
    </row>
    <row r="275" spans="1:25" ht="22.5" customHeight="1" thickTop="1" thickBot="1" x14ac:dyDescent="0.3">
      <c r="A275" s="28" t="s">
        <v>127</v>
      </c>
      <c r="B275" s="91" t="s">
        <v>134</v>
      </c>
      <c r="C275" s="91" t="s">
        <v>146</v>
      </c>
      <c r="D275" s="91" t="s">
        <v>134</v>
      </c>
      <c r="E275" s="91" t="s">
        <v>139</v>
      </c>
      <c r="F275" s="565" t="s">
        <v>134</v>
      </c>
      <c r="G275" s="91"/>
      <c r="H275" s="91"/>
      <c r="I275" s="91"/>
      <c r="J275" s="88" t="s">
        <v>1446</v>
      </c>
      <c r="K275" s="538"/>
      <c r="L275" s="538"/>
      <c r="M275" s="538"/>
      <c r="N275" s="538">
        <f t="shared" si="97"/>
        <v>0</v>
      </c>
      <c r="O275" s="538"/>
      <c r="P275" s="538"/>
      <c r="Q275" s="538"/>
      <c r="R275" s="538"/>
      <c r="S275" s="538"/>
      <c r="T275" s="538"/>
      <c r="U275" s="1134" t="e">
        <f t="shared" si="104"/>
        <v>#DIV/0!</v>
      </c>
      <c r="V275" s="91"/>
      <c r="W275" s="28"/>
      <c r="X275" s="28"/>
      <c r="Y275" s="1113" t="s">
        <v>1136</v>
      </c>
    </row>
    <row r="276" spans="1:25" ht="22.5" customHeight="1" thickTop="1" thickBot="1" x14ac:dyDescent="0.3">
      <c r="A276" s="28" t="s">
        <v>127</v>
      </c>
      <c r="B276" s="91" t="s">
        <v>134</v>
      </c>
      <c r="C276" s="91" t="s">
        <v>146</v>
      </c>
      <c r="D276" s="91" t="s">
        <v>134</v>
      </c>
      <c r="E276" s="91" t="s">
        <v>139</v>
      </c>
      <c r="F276" s="565" t="s">
        <v>139</v>
      </c>
      <c r="G276" s="91"/>
      <c r="H276" s="91"/>
      <c r="I276" s="91"/>
      <c r="J276" s="88" t="s">
        <v>1447</v>
      </c>
      <c r="K276" s="538"/>
      <c r="L276" s="538"/>
      <c r="M276" s="538"/>
      <c r="N276" s="538">
        <f t="shared" si="97"/>
        <v>0</v>
      </c>
      <c r="O276" s="538"/>
      <c r="P276" s="538"/>
      <c r="Q276" s="538"/>
      <c r="R276" s="538"/>
      <c r="S276" s="538"/>
      <c r="T276" s="538"/>
      <c r="U276" s="1134" t="e">
        <f t="shared" si="104"/>
        <v>#DIV/0!</v>
      </c>
      <c r="V276" s="91"/>
      <c r="W276" s="28"/>
      <c r="X276" s="28"/>
      <c r="Y276" s="1113" t="s">
        <v>1136</v>
      </c>
    </row>
    <row r="277" spans="1:25" ht="22.5" customHeight="1" thickTop="1" thickBot="1" x14ac:dyDescent="0.3">
      <c r="A277" s="28" t="s">
        <v>127</v>
      </c>
      <c r="B277" s="91" t="s">
        <v>134</v>
      </c>
      <c r="C277" s="91" t="s">
        <v>146</v>
      </c>
      <c r="D277" s="91" t="s">
        <v>134</v>
      </c>
      <c r="E277" s="91" t="s">
        <v>139</v>
      </c>
      <c r="F277" s="565" t="s">
        <v>140</v>
      </c>
      <c r="G277" s="91"/>
      <c r="H277" s="91"/>
      <c r="I277" s="91"/>
      <c r="J277" s="88" t="s">
        <v>1448</v>
      </c>
      <c r="K277" s="538"/>
      <c r="L277" s="538"/>
      <c r="M277" s="538"/>
      <c r="N277" s="538">
        <f t="shared" si="97"/>
        <v>0</v>
      </c>
      <c r="O277" s="538"/>
      <c r="P277" s="538"/>
      <c r="Q277" s="538"/>
      <c r="R277" s="538"/>
      <c r="S277" s="538"/>
      <c r="T277" s="538"/>
      <c r="U277" s="1134" t="e">
        <f t="shared" si="104"/>
        <v>#DIV/0!</v>
      </c>
      <c r="V277" s="91"/>
      <c r="W277" s="28"/>
      <c r="X277" s="28"/>
      <c r="Y277" s="1113" t="s">
        <v>1136</v>
      </c>
    </row>
    <row r="278" spans="1:25" ht="22.5" customHeight="1" thickTop="1" thickBot="1" x14ac:dyDescent="0.3">
      <c r="A278" s="28" t="s">
        <v>127</v>
      </c>
      <c r="B278" s="91" t="s">
        <v>134</v>
      </c>
      <c r="C278" s="91" t="s">
        <v>146</v>
      </c>
      <c r="D278" s="91" t="s">
        <v>134</v>
      </c>
      <c r="E278" s="91" t="s">
        <v>139</v>
      </c>
      <c r="F278" s="565" t="s">
        <v>144</v>
      </c>
      <c r="G278" s="91"/>
      <c r="H278" s="91"/>
      <c r="I278" s="91"/>
      <c r="J278" s="88" t="s">
        <v>1449</v>
      </c>
      <c r="K278" s="538"/>
      <c r="L278" s="538"/>
      <c r="M278" s="538"/>
      <c r="N278" s="538">
        <f t="shared" si="97"/>
        <v>0</v>
      </c>
      <c r="O278" s="538"/>
      <c r="P278" s="538"/>
      <c r="Q278" s="538"/>
      <c r="R278" s="538"/>
      <c r="S278" s="538"/>
      <c r="T278" s="538"/>
      <c r="U278" s="1134" t="e">
        <f t="shared" si="104"/>
        <v>#DIV/0!</v>
      </c>
      <c r="V278" s="91"/>
      <c r="W278" s="28"/>
      <c r="X278" s="28"/>
      <c r="Y278" s="1113" t="s">
        <v>1136</v>
      </c>
    </row>
    <row r="279" spans="1:25" s="1" customFormat="1" ht="22.5" customHeight="1" thickTop="1" thickBot="1" x14ac:dyDescent="0.3">
      <c r="A279" s="564" t="s">
        <v>127</v>
      </c>
      <c r="B279" s="565" t="s">
        <v>134</v>
      </c>
      <c r="C279" s="565" t="s">
        <v>146</v>
      </c>
      <c r="D279" s="565" t="s">
        <v>134</v>
      </c>
      <c r="E279" s="565" t="s">
        <v>140</v>
      </c>
      <c r="F279" s="565"/>
      <c r="G279" s="565"/>
      <c r="H279" s="91"/>
      <c r="I279" s="91"/>
      <c r="J279" s="566" t="s">
        <v>1450</v>
      </c>
      <c r="K279" s="1132"/>
      <c r="L279" s="1132"/>
      <c r="M279" s="1132"/>
      <c r="N279" s="1132">
        <f t="shared" si="97"/>
        <v>0</v>
      </c>
      <c r="O279" s="1132"/>
      <c r="P279" s="1132"/>
      <c r="Q279" s="1132"/>
      <c r="R279" s="1132"/>
      <c r="S279" s="1132"/>
      <c r="T279" s="1132"/>
      <c r="U279" s="1133" t="e">
        <f t="shared" si="104"/>
        <v>#DIV/0!</v>
      </c>
      <c r="V279" s="565"/>
      <c r="W279" s="564"/>
      <c r="X279" s="564"/>
      <c r="Y279" s="1113" t="s">
        <v>1136</v>
      </c>
    </row>
    <row r="280" spans="1:25" s="1" customFormat="1" ht="22.5" customHeight="1" thickTop="1" thickBot="1" x14ac:dyDescent="0.3">
      <c r="A280" s="564" t="s">
        <v>127</v>
      </c>
      <c r="B280" s="565" t="s">
        <v>134</v>
      </c>
      <c r="C280" s="565" t="s">
        <v>146</v>
      </c>
      <c r="D280" s="565" t="s">
        <v>134</v>
      </c>
      <c r="E280" s="565" t="s">
        <v>144</v>
      </c>
      <c r="F280" s="565"/>
      <c r="G280" s="565"/>
      <c r="H280" s="91"/>
      <c r="I280" s="91"/>
      <c r="J280" s="566" t="s">
        <v>1451</v>
      </c>
      <c r="K280" s="1132"/>
      <c r="L280" s="1132"/>
      <c r="M280" s="1132"/>
      <c r="N280" s="1132">
        <f t="shared" si="97"/>
        <v>0</v>
      </c>
      <c r="O280" s="1132"/>
      <c r="P280" s="1132"/>
      <c r="Q280" s="1132"/>
      <c r="R280" s="1132"/>
      <c r="S280" s="1132"/>
      <c r="T280" s="1132"/>
      <c r="U280" s="1133" t="e">
        <f t="shared" si="104"/>
        <v>#DIV/0!</v>
      </c>
      <c r="V280" s="565"/>
      <c r="W280" s="564"/>
      <c r="X280" s="564"/>
      <c r="Y280" s="1113" t="s">
        <v>1136</v>
      </c>
    </row>
    <row r="281" spans="1:25" s="1" customFormat="1" ht="22.5" customHeight="1" thickTop="1" thickBot="1" x14ac:dyDescent="0.3">
      <c r="A281" s="1126" t="s">
        <v>127</v>
      </c>
      <c r="B281" s="1127" t="s">
        <v>134</v>
      </c>
      <c r="C281" s="1127" t="s">
        <v>146</v>
      </c>
      <c r="D281" s="1127" t="s">
        <v>139</v>
      </c>
      <c r="E281" s="1127"/>
      <c r="F281" s="1127"/>
      <c r="G281" s="1127"/>
      <c r="H281" s="1128"/>
      <c r="I281" s="1128"/>
      <c r="J281" s="1129" t="s">
        <v>1452</v>
      </c>
      <c r="K281" s="1130">
        <f>+K282+K284+K285+K291+K292+K293+K294+K295+K300</f>
        <v>0</v>
      </c>
      <c r="L281" s="1130">
        <f>+L282+L284+L285+L291+L292+L293+L294+L295+L300</f>
        <v>0</v>
      </c>
      <c r="M281" s="1130">
        <f>+M282+M284+M285+M291+M292+M293+M294+M295+M300</f>
        <v>0</v>
      </c>
      <c r="N281" s="1130">
        <f t="shared" si="97"/>
        <v>0</v>
      </c>
      <c r="O281" s="1130">
        <f t="shared" ref="O281:T281" si="108">+O282+O284+O285+O291+O292+O293+O294+O295+O300</f>
        <v>0</v>
      </c>
      <c r="P281" s="1130">
        <f t="shared" si="108"/>
        <v>0</v>
      </c>
      <c r="Q281" s="1130">
        <f t="shared" si="108"/>
        <v>0</v>
      </c>
      <c r="R281" s="1130">
        <f t="shared" si="108"/>
        <v>0</v>
      </c>
      <c r="S281" s="1130">
        <f>+S282+S284+S285+S291+S292+S293+S294+S295+S300</f>
        <v>0</v>
      </c>
      <c r="T281" s="1130">
        <f t="shared" si="108"/>
        <v>0</v>
      </c>
      <c r="U281" s="1131" t="e">
        <f t="shared" si="104"/>
        <v>#DIV/0!</v>
      </c>
      <c r="V281" s="1127"/>
      <c r="W281" s="1127"/>
      <c r="X281" s="1127"/>
      <c r="Y281" s="1113" t="s">
        <v>1136</v>
      </c>
    </row>
    <row r="282" spans="1:25" s="1" customFormat="1" ht="22.5" customHeight="1" thickTop="1" thickBot="1" x14ac:dyDescent="0.3">
      <c r="A282" s="564" t="s">
        <v>127</v>
      </c>
      <c r="B282" s="565" t="s">
        <v>134</v>
      </c>
      <c r="C282" s="565" t="s">
        <v>146</v>
      </c>
      <c r="D282" s="565" t="s">
        <v>139</v>
      </c>
      <c r="E282" s="565" t="s">
        <v>129</v>
      </c>
      <c r="F282" s="565"/>
      <c r="G282" s="565"/>
      <c r="H282" s="91"/>
      <c r="I282" s="91"/>
      <c r="J282" s="566" t="s">
        <v>1453</v>
      </c>
      <c r="K282" s="1132">
        <f t="shared" ref="K282:T282" si="109">+K283</f>
        <v>0</v>
      </c>
      <c r="L282" s="1132">
        <f>+L283</f>
        <v>0</v>
      </c>
      <c r="M282" s="1132">
        <f>+M283</f>
        <v>0</v>
      </c>
      <c r="N282" s="1132">
        <f t="shared" si="97"/>
        <v>0</v>
      </c>
      <c r="O282" s="1132">
        <f t="shared" si="109"/>
        <v>0</v>
      </c>
      <c r="P282" s="1132">
        <f t="shared" si="109"/>
        <v>0</v>
      </c>
      <c r="Q282" s="1132">
        <f t="shared" si="109"/>
        <v>0</v>
      </c>
      <c r="R282" s="1132">
        <f t="shared" si="109"/>
        <v>0</v>
      </c>
      <c r="S282" s="1132">
        <f t="shared" si="109"/>
        <v>0</v>
      </c>
      <c r="T282" s="1132">
        <f t="shared" si="109"/>
        <v>0</v>
      </c>
      <c r="U282" s="1133" t="e">
        <f t="shared" si="104"/>
        <v>#DIV/0!</v>
      </c>
      <c r="V282" s="565"/>
      <c r="W282" s="564"/>
      <c r="X282" s="564"/>
      <c r="Y282" s="1113" t="s">
        <v>1136</v>
      </c>
    </row>
    <row r="283" spans="1:25" ht="22.5" customHeight="1" thickTop="1" thickBot="1" x14ac:dyDescent="0.3">
      <c r="A283" s="28" t="s">
        <v>127</v>
      </c>
      <c r="B283" s="91" t="s">
        <v>134</v>
      </c>
      <c r="C283" s="91" t="s">
        <v>146</v>
      </c>
      <c r="D283" s="91" t="s">
        <v>139</v>
      </c>
      <c r="E283" s="91" t="s">
        <v>129</v>
      </c>
      <c r="F283" s="565" t="s">
        <v>129</v>
      </c>
      <c r="G283" s="91"/>
      <c r="H283" s="91"/>
      <c r="I283" s="91"/>
      <c r="J283" s="88" t="s">
        <v>1454</v>
      </c>
      <c r="K283" s="538"/>
      <c r="L283" s="538"/>
      <c r="M283" s="538"/>
      <c r="N283" s="1132">
        <f t="shared" si="97"/>
        <v>0</v>
      </c>
      <c r="O283" s="538"/>
      <c r="P283" s="538"/>
      <c r="Q283" s="538"/>
      <c r="R283" s="538"/>
      <c r="S283" s="1132"/>
      <c r="T283" s="538"/>
      <c r="U283" s="1134" t="e">
        <f t="shared" si="104"/>
        <v>#DIV/0!</v>
      </c>
      <c r="V283" s="91"/>
      <c r="W283" s="28"/>
      <c r="X283" s="28"/>
      <c r="Y283" s="1113" t="s">
        <v>1136</v>
      </c>
    </row>
    <row r="284" spans="1:25" s="1" customFormat="1" ht="22.5" customHeight="1" thickTop="1" thickBot="1" x14ac:dyDescent="0.3">
      <c r="A284" s="564" t="s">
        <v>127</v>
      </c>
      <c r="B284" s="565" t="s">
        <v>134</v>
      </c>
      <c r="C284" s="565" t="s">
        <v>146</v>
      </c>
      <c r="D284" s="565" t="s">
        <v>139</v>
      </c>
      <c r="E284" s="565" t="s">
        <v>134</v>
      </c>
      <c r="F284" s="565"/>
      <c r="G284" s="565"/>
      <c r="H284" s="91"/>
      <c r="I284" s="91"/>
      <c r="J284" s="566" t="s">
        <v>1455</v>
      </c>
      <c r="K284" s="1132"/>
      <c r="L284" s="1132"/>
      <c r="M284" s="1132"/>
      <c r="N284" s="1132">
        <f t="shared" si="97"/>
        <v>0</v>
      </c>
      <c r="O284" s="1132"/>
      <c r="P284" s="1132"/>
      <c r="Q284" s="1132"/>
      <c r="R284" s="1132"/>
      <c r="S284" s="1132"/>
      <c r="T284" s="1132"/>
      <c r="U284" s="1133" t="e">
        <f t="shared" si="104"/>
        <v>#DIV/0!</v>
      </c>
      <c r="V284" s="565"/>
      <c r="W284" s="564"/>
      <c r="X284" s="564"/>
      <c r="Y284" s="1113" t="s">
        <v>1136</v>
      </c>
    </row>
    <row r="285" spans="1:25" s="1" customFormat="1" ht="22.5" customHeight="1" thickTop="1" thickBot="1" x14ac:dyDescent="0.3">
      <c r="A285" s="564" t="s">
        <v>127</v>
      </c>
      <c r="B285" s="565" t="s">
        <v>134</v>
      </c>
      <c r="C285" s="565" t="s">
        <v>146</v>
      </c>
      <c r="D285" s="565" t="s">
        <v>139</v>
      </c>
      <c r="E285" s="565" t="s">
        <v>139</v>
      </c>
      <c r="F285" s="565"/>
      <c r="G285" s="565"/>
      <c r="H285" s="91"/>
      <c r="I285" s="91"/>
      <c r="J285" s="566" t="s">
        <v>1456</v>
      </c>
      <c r="K285" s="1132">
        <f t="shared" ref="K285:T285" si="110">+K286+K287+K288+K289+K290</f>
        <v>0</v>
      </c>
      <c r="L285" s="1132">
        <f>+L286+L287+L288+L289+L290</f>
        <v>0</v>
      </c>
      <c r="M285" s="1132">
        <f>+M286+M287+M288+M289+M290</f>
        <v>0</v>
      </c>
      <c r="N285" s="1132">
        <f t="shared" si="97"/>
        <v>0</v>
      </c>
      <c r="O285" s="1132">
        <f t="shared" si="110"/>
        <v>0</v>
      </c>
      <c r="P285" s="1132">
        <f t="shared" si="110"/>
        <v>0</v>
      </c>
      <c r="Q285" s="1132">
        <f t="shared" si="110"/>
        <v>0</v>
      </c>
      <c r="R285" s="1132">
        <f t="shared" si="110"/>
        <v>0</v>
      </c>
      <c r="S285" s="1132">
        <f t="shared" si="110"/>
        <v>0</v>
      </c>
      <c r="T285" s="1132">
        <f t="shared" si="110"/>
        <v>0</v>
      </c>
      <c r="U285" s="1133" t="e">
        <f t="shared" si="104"/>
        <v>#DIV/0!</v>
      </c>
      <c r="V285" s="565"/>
      <c r="W285" s="564"/>
      <c r="X285" s="564"/>
      <c r="Y285" s="1113" t="s">
        <v>1136</v>
      </c>
    </row>
    <row r="286" spans="1:25" ht="22.5" customHeight="1" thickTop="1" thickBot="1" x14ac:dyDescent="0.3">
      <c r="A286" s="28" t="s">
        <v>127</v>
      </c>
      <c r="B286" s="91" t="s">
        <v>134</v>
      </c>
      <c r="C286" s="91" t="s">
        <v>146</v>
      </c>
      <c r="D286" s="91" t="s">
        <v>139</v>
      </c>
      <c r="E286" s="91" t="s">
        <v>139</v>
      </c>
      <c r="F286" s="565" t="s">
        <v>129</v>
      </c>
      <c r="G286" s="91"/>
      <c r="H286" s="91"/>
      <c r="I286" s="91"/>
      <c r="J286" s="88" t="s">
        <v>1457</v>
      </c>
      <c r="K286" s="538"/>
      <c r="L286" s="538"/>
      <c r="M286" s="538"/>
      <c r="N286" s="1132">
        <f t="shared" si="97"/>
        <v>0</v>
      </c>
      <c r="O286" s="538"/>
      <c r="P286" s="538"/>
      <c r="Q286" s="538"/>
      <c r="R286" s="538"/>
      <c r="S286" s="1132"/>
      <c r="T286" s="538"/>
      <c r="U286" s="1134" t="e">
        <f t="shared" si="104"/>
        <v>#DIV/0!</v>
      </c>
      <c r="V286" s="91"/>
      <c r="W286" s="28"/>
      <c r="X286" s="28"/>
      <c r="Y286" s="1113" t="s">
        <v>1136</v>
      </c>
    </row>
    <row r="287" spans="1:25" ht="22.5" customHeight="1" thickTop="1" thickBot="1" x14ac:dyDescent="0.3">
      <c r="A287" s="28" t="s">
        <v>127</v>
      </c>
      <c r="B287" s="91" t="s">
        <v>134</v>
      </c>
      <c r="C287" s="91" t="s">
        <v>146</v>
      </c>
      <c r="D287" s="91" t="s">
        <v>139</v>
      </c>
      <c r="E287" s="91" t="s">
        <v>139</v>
      </c>
      <c r="F287" s="565" t="s">
        <v>134</v>
      </c>
      <c r="G287" s="91"/>
      <c r="H287" s="91"/>
      <c r="I287" s="91"/>
      <c r="J287" s="88" t="s">
        <v>1458</v>
      </c>
      <c r="K287" s="538"/>
      <c r="L287" s="538"/>
      <c r="M287" s="538"/>
      <c r="N287" s="1132">
        <f t="shared" si="97"/>
        <v>0</v>
      </c>
      <c r="O287" s="538"/>
      <c r="P287" s="538"/>
      <c r="Q287" s="538"/>
      <c r="R287" s="538"/>
      <c r="S287" s="1132"/>
      <c r="T287" s="538"/>
      <c r="U287" s="1134" t="e">
        <f t="shared" si="104"/>
        <v>#DIV/0!</v>
      </c>
      <c r="V287" s="91"/>
      <c r="W287" s="28"/>
      <c r="X287" s="28"/>
      <c r="Y287" s="1113" t="s">
        <v>1136</v>
      </c>
    </row>
    <row r="288" spans="1:25" ht="22.5" customHeight="1" thickTop="1" thickBot="1" x14ac:dyDescent="0.3">
      <c r="A288" s="28" t="s">
        <v>127</v>
      </c>
      <c r="B288" s="91" t="s">
        <v>134</v>
      </c>
      <c r="C288" s="91" t="s">
        <v>146</v>
      </c>
      <c r="D288" s="91" t="s">
        <v>139</v>
      </c>
      <c r="E288" s="91" t="s">
        <v>139</v>
      </c>
      <c r="F288" s="565" t="s">
        <v>139</v>
      </c>
      <c r="G288" s="91"/>
      <c r="H288" s="91"/>
      <c r="I288" s="91"/>
      <c r="J288" s="88" t="s">
        <v>1459</v>
      </c>
      <c r="K288" s="538"/>
      <c r="L288" s="538"/>
      <c r="M288" s="538"/>
      <c r="N288" s="1132">
        <f t="shared" si="97"/>
        <v>0</v>
      </c>
      <c r="O288" s="538"/>
      <c r="P288" s="538"/>
      <c r="Q288" s="538"/>
      <c r="R288" s="538"/>
      <c r="S288" s="1132"/>
      <c r="T288" s="538"/>
      <c r="U288" s="1134" t="e">
        <f t="shared" si="104"/>
        <v>#DIV/0!</v>
      </c>
      <c r="V288" s="91"/>
      <c r="W288" s="28"/>
      <c r="X288" s="28"/>
      <c r="Y288" s="1113" t="s">
        <v>1136</v>
      </c>
    </row>
    <row r="289" spans="1:25" ht="22.5" customHeight="1" thickTop="1" thickBot="1" x14ac:dyDescent="0.3">
      <c r="A289" s="28" t="s">
        <v>127</v>
      </c>
      <c r="B289" s="91" t="s">
        <v>134</v>
      </c>
      <c r="C289" s="91" t="s">
        <v>146</v>
      </c>
      <c r="D289" s="91" t="s">
        <v>139</v>
      </c>
      <c r="E289" s="91" t="s">
        <v>139</v>
      </c>
      <c r="F289" s="565" t="s">
        <v>140</v>
      </c>
      <c r="G289" s="91"/>
      <c r="H289" s="91"/>
      <c r="I289" s="91"/>
      <c r="J289" s="88" t="s">
        <v>1460</v>
      </c>
      <c r="K289" s="538"/>
      <c r="L289" s="538"/>
      <c r="M289" s="538"/>
      <c r="N289" s="1132">
        <f t="shared" si="97"/>
        <v>0</v>
      </c>
      <c r="O289" s="538"/>
      <c r="P289" s="538"/>
      <c r="Q289" s="538"/>
      <c r="R289" s="538"/>
      <c r="S289" s="1132"/>
      <c r="T289" s="538"/>
      <c r="U289" s="1134" t="e">
        <f t="shared" si="104"/>
        <v>#DIV/0!</v>
      </c>
      <c r="V289" s="91"/>
      <c r="W289" s="28"/>
      <c r="X289" s="28"/>
      <c r="Y289" s="1113" t="s">
        <v>1136</v>
      </c>
    </row>
    <row r="290" spans="1:25" ht="22.5" customHeight="1" thickTop="1" thickBot="1" x14ac:dyDescent="0.3">
      <c r="A290" s="28" t="s">
        <v>127</v>
      </c>
      <c r="B290" s="91" t="s">
        <v>134</v>
      </c>
      <c r="C290" s="91" t="s">
        <v>146</v>
      </c>
      <c r="D290" s="91" t="s">
        <v>139</v>
      </c>
      <c r="E290" s="91" t="s">
        <v>139</v>
      </c>
      <c r="F290" s="565" t="s">
        <v>144</v>
      </c>
      <c r="G290" s="91"/>
      <c r="H290" s="91"/>
      <c r="I290" s="91"/>
      <c r="J290" s="88" t="s">
        <v>1461</v>
      </c>
      <c r="K290" s="538"/>
      <c r="L290" s="538"/>
      <c r="M290" s="538"/>
      <c r="N290" s="1132">
        <f t="shared" si="97"/>
        <v>0</v>
      </c>
      <c r="O290" s="538"/>
      <c r="P290" s="538"/>
      <c r="Q290" s="538"/>
      <c r="R290" s="538"/>
      <c r="S290" s="1132"/>
      <c r="T290" s="538"/>
      <c r="U290" s="1134" t="e">
        <f t="shared" si="104"/>
        <v>#DIV/0!</v>
      </c>
      <c r="V290" s="91"/>
      <c r="W290" s="28"/>
      <c r="X290" s="28"/>
      <c r="Y290" s="1113" t="s">
        <v>1136</v>
      </c>
    </row>
    <row r="291" spans="1:25" s="1" customFormat="1" ht="22.5" customHeight="1" thickTop="1" thickBot="1" x14ac:dyDescent="0.3">
      <c r="A291" s="564" t="s">
        <v>127</v>
      </c>
      <c r="B291" s="565" t="s">
        <v>134</v>
      </c>
      <c r="C291" s="565" t="s">
        <v>146</v>
      </c>
      <c r="D291" s="565" t="s">
        <v>139</v>
      </c>
      <c r="E291" s="565" t="s">
        <v>140</v>
      </c>
      <c r="F291" s="565"/>
      <c r="G291" s="565"/>
      <c r="H291" s="91"/>
      <c r="I291" s="91"/>
      <c r="J291" s="566" t="s">
        <v>1462</v>
      </c>
      <c r="K291" s="1132"/>
      <c r="L291" s="1132"/>
      <c r="M291" s="1132"/>
      <c r="N291" s="1132">
        <f t="shared" si="97"/>
        <v>0</v>
      </c>
      <c r="O291" s="1132"/>
      <c r="P291" s="1132"/>
      <c r="Q291" s="1132"/>
      <c r="R291" s="1132"/>
      <c r="S291" s="1132"/>
      <c r="T291" s="1132"/>
      <c r="U291" s="1133" t="e">
        <f t="shared" si="104"/>
        <v>#DIV/0!</v>
      </c>
      <c r="V291" s="565"/>
      <c r="W291" s="564"/>
      <c r="X291" s="564"/>
      <c r="Y291" s="1113" t="s">
        <v>1136</v>
      </c>
    </row>
    <row r="292" spans="1:25" s="1" customFormat="1" ht="22.5" customHeight="1" thickTop="1" thickBot="1" x14ac:dyDescent="0.3">
      <c r="A292" s="564" t="s">
        <v>127</v>
      </c>
      <c r="B292" s="565" t="s">
        <v>134</v>
      </c>
      <c r="C292" s="565" t="s">
        <v>146</v>
      </c>
      <c r="D292" s="565" t="s">
        <v>139</v>
      </c>
      <c r="E292" s="565" t="s">
        <v>144</v>
      </c>
      <c r="F292" s="565"/>
      <c r="G292" s="565"/>
      <c r="H292" s="91"/>
      <c r="I292" s="91"/>
      <c r="J292" s="566" t="s">
        <v>1463</v>
      </c>
      <c r="K292" s="1132"/>
      <c r="L292" s="1132"/>
      <c r="M292" s="1132"/>
      <c r="N292" s="1132">
        <f t="shared" si="97"/>
        <v>0</v>
      </c>
      <c r="O292" s="1132"/>
      <c r="P292" s="1132"/>
      <c r="Q292" s="1132"/>
      <c r="R292" s="1132"/>
      <c r="S292" s="1132"/>
      <c r="T292" s="1132"/>
      <c r="U292" s="1133" t="e">
        <f t="shared" si="104"/>
        <v>#DIV/0!</v>
      </c>
      <c r="V292" s="565"/>
      <c r="W292" s="564"/>
      <c r="X292" s="564"/>
      <c r="Y292" s="1113" t="s">
        <v>1136</v>
      </c>
    </row>
    <row r="293" spans="1:25" ht="22.5" customHeight="1" thickTop="1" thickBot="1" x14ac:dyDescent="0.3">
      <c r="A293" s="564" t="s">
        <v>127</v>
      </c>
      <c r="B293" s="565" t="s">
        <v>134</v>
      </c>
      <c r="C293" s="565" t="s">
        <v>146</v>
      </c>
      <c r="D293" s="565" t="s">
        <v>139</v>
      </c>
      <c r="E293" s="565" t="s">
        <v>145</v>
      </c>
      <c r="F293" s="91"/>
      <c r="G293" s="91"/>
      <c r="H293" s="91"/>
      <c r="I293" s="91"/>
      <c r="J293" s="566" t="s">
        <v>1464</v>
      </c>
      <c r="K293" s="1132"/>
      <c r="L293" s="1132"/>
      <c r="M293" s="1132"/>
      <c r="N293" s="1132">
        <f t="shared" si="97"/>
        <v>0</v>
      </c>
      <c r="O293" s="1132"/>
      <c r="P293" s="1132"/>
      <c r="Q293" s="1132"/>
      <c r="R293" s="1132"/>
      <c r="S293" s="1132"/>
      <c r="T293" s="1132"/>
      <c r="U293" s="1133" t="e">
        <f t="shared" si="104"/>
        <v>#DIV/0!</v>
      </c>
      <c r="V293" s="565"/>
      <c r="W293" s="564"/>
      <c r="X293" s="564"/>
    </row>
    <row r="294" spans="1:25" ht="22.5" customHeight="1" thickTop="1" thickBot="1" x14ac:dyDescent="0.3">
      <c r="A294" s="564" t="s">
        <v>127</v>
      </c>
      <c r="B294" s="565" t="s">
        <v>134</v>
      </c>
      <c r="C294" s="565" t="s">
        <v>146</v>
      </c>
      <c r="D294" s="565" t="s">
        <v>139</v>
      </c>
      <c r="E294" s="565" t="s">
        <v>146</v>
      </c>
      <c r="F294" s="91"/>
      <c r="G294" s="91"/>
      <c r="H294" s="91"/>
      <c r="I294" s="91"/>
      <c r="J294" s="566" t="s">
        <v>1465</v>
      </c>
      <c r="K294" s="1132"/>
      <c r="L294" s="1132"/>
      <c r="M294" s="1132"/>
      <c r="N294" s="1132">
        <f t="shared" si="97"/>
        <v>0</v>
      </c>
      <c r="O294" s="1132"/>
      <c r="P294" s="1132"/>
      <c r="Q294" s="1132"/>
      <c r="R294" s="1132"/>
      <c r="S294" s="1132"/>
      <c r="T294" s="1132"/>
      <c r="U294" s="1133" t="e">
        <f t="shared" si="104"/>
        <v>#DIV/0!</v>
      </c>
      <c r="V294" s="565"/>
      <c r="W294" s="564"/>
      <c r="X294" s="564"/>
    </row>
    <row r="295" spans="1:25" ht="22.5" customHeight="1" thickTop="1" thickBot="1" x14ac:dyDescent="0.3">
      <c r="A295" s="564" t="s">
        <v>127</v>
      </c>
      <c r="B295" s="565" t="s">
        <v>134</v>
      </c>
      <c r="C295" s="565" t="s">
        <v>146</v>
      </c>
      <c r="D295" s="565" t="s">
        <v>139</v>
      </c>
      <c r="E295" s="565" t="s">
        <v>147</v>
      </c>
      <c r="F295" s="91"/>
      <c r="G295" s="91"/>
      <c r="H295" s="91"/>
      <c r="I295" s="91"/>
      <c r="J295" s="566" t="s">
        <v>1466</v>
      </c>
      <c r="K295" s="1132">
        <f>+K296</f>
        <v>0</v>
      </c>
      <c r="L295" s="1132">
        <f>+L296</f>
        <v>0</v>
      </c>
      <c r="M295" s="1132">
        <f>+M296</f>
        <v>0</v>
      </c>
      <c r="N295" s="1132">
        <f t="shared" si="97"/>
        <v>0</v>
      </c>
      <c r="O295" s="1132">
        <f t="shared" ref="O295:T295" si="111">+O296</f>
        <v>0</v>
      </c>
      <c r="P295" s="1132">
        <f t="shared" si="111"/>
        <v>0</v>
      </c>
      <c r="Q295" s="1132">
        <f t="shared" si="111"/>
        <v>0</v>
      </c>
      <c r="R295" s="1132">
        <f t="shared" si="111"/>
        <v>0</v>
      </c>
      <c r="S295" s="1132">
        <f>+S296</f>
        <v>0</v>
      </c>
      <c r="T295" s="1132">
        <f t="shared" si="111"/>
        <v>0</v>
      </c>
      <c r="U295" s="1133" t="e">
        <f t="shared" si="104"/>
        <v>#DIV/0!</v>
      </c>
      <c r="V295" s="565"/>
      <c r="W295" s="564"/>
      <c r="X295" s="564"/>
    </row>
    <row r="296" spans="1:25" ht="22.5" customHeight="1" thickTop="1" thickBot="1" x14ac:dyDescent="0.3">
      <c r="A296" s="28" t="s">
        <v>127</v>
      </c>
      <c r="B296" s="91" t="s">
        <v>134</v>
      </c>
      <c r="C296" s="91" t="s">
        <v>146</v>
      </c>
      <c r="D296" s="91" t="s">
        <v>139</v>
      </c>
      <c r="E296" s="91" t="s">
        <v>147</v>
      </c>
      <c r="F296" s="565" t="s">
        <v>129</v>
      </c>
      <c r="G296" s="91"/>
      <c r="H296" s="91"/>
      <c r="I296" s="91"/>
      <c r="J296" s="566" t="s">
        <v>1467</v>
      </c>
      <c r="K296" s="1132">
        <f>K297+K298+K299</f>
        <v>0</v>
      </c>
      <c r="L296" s="1132">
        <f>L297+L298+L299</f>
        <v>0</v>
      </c>
      <c r="M296" s="1132">
        <f>M297+M298+M299</f>
        <v>0</v>
      </c>
      <c r="N296" s="1132">
        <f t="shared" si="97"/>
        <v>0</v>
      </c>
      <c r="O296" s="1132">
        <f t="shared" ref="O296:T296" si="112">O297+O298+O299</f>
        <v>0</v>
      </c>
      <c r="P296" s="1132">
        <f t="shared" si="112"/>
        <v>0</v>
      </c>
      <c r="Q296" s="1132">
        <f t="shared" si="112"/>
        <v>0</v>
      </c>
      <c r="R296" s="1132">
        <f t="shared" si="112"/>
        <v>0</v>
      </c>
      <c r="S296" s="1132">
        <f>S297+S298+S299</f>
        <v>0</v>
      </c>
      <c r="T296" s="1132">
        <f t="shared" si="112"/>
        <v>0</v>
      </c>
      <c r="U296" s="1133" t="e">
        <f t="shared" si="104"/>
        <v>#DIV/0!</v>
      </c>
      <c r="V296" s="565"/>
      <c r="W296" s="564"/>
      <c r="X296" s="564"/>
    </row>
    <row r="297" spans="1:25" ht="22.5" customHeight="1" thickTop="1" thickBot="1" x14ac:dyDescent="0.3">
      <c r="A297" s="28" t="s">
        <v>127</v>
      </c>
      <c r="B297" s="91" t="s">
        <v>134</v>
      </c>
      <c r="C297" s="91" t="s">
        <v>146</v>
      </c>
      <c r="D297" s="91" t="s">
        <v>139</v>
      </c>
      <c r="E297" s="91" t="s">
        <v>147</v>
      </c>
      <c r="F297" s="91" t="s">
        <v>129</v>
      </c>
      <c r="G297" s="565" t="s">
        <v>129</v>
      </c>
      <c r="H297" s="91"/>
      <c r="I297" s="91"/>
      <c r="J297" s="88" t="s">
        <v>1468</v>
      </c>
      <c r="K297" s="1132"/>
      <c r="L297" s="1132"/>
      <c r="M297" s="1132"/>
      <c r="N297" s="1132">
        <f t="shared" si="97"/>
        <v>0</v>
      </c>
      <c r="O297" s="1132"/>
      <c r="P297" s="1132"/>
      <c r="Q297" s="1132"/>
      <c r="R297" s="1132"/>
      <c r="S297" s="1132"/>
      <c r="T297" s="1132"/>
      <c r="U297" s="1133" t="e">
        <f t="shared" si="104"/>
        <v>#DIV/0!</v>
      </c>
      <c r="V297" s="565"/>
      <c r="W297" s="564"/>
      <c r="X297" s="564"/>
    </row>
    <row r="298" spans="1:25" ht="22.5" customHeight="1" thickTop="1" thickBot="1" x14ac:dyDescent="0.3">
      <c r="A298" s="28" t="s">
        <v>127</v>
      </c>
      <c r="B298" s="91" t="s">
        <v>134</v>
      </c>
      <c r="C298" s="91" t="s">
        <v>146</v>
      </c>
      <c r="D298" s="91" t="s">
        <v>139</v>
      </c>
      <c r="E298" s="91" t="s">
        <v>147</v>
      </c>
      <c r="F298" s="91" t="s">
        <v>129</v>
      </c>
      <c r="G298" s="565" t="s">
        <v>134</v>
      </c>
      <c r="H298" s="91"/>
      <c r="I298" s="91"/>
      <c r="J298" s="88" t="s">
        <v>1469</v>
      </c>
      <c r="K298" s="1132"/>
      <c r="L298" s="1132"/>
      <c r="M298" s="1132"/>
      <c r="N298" s="1132">
        <f t="shared" si="97"/>
        <v>0</v>
      </c>
      <c r="O298" s="1132"/>
      <c r="P298" s="1132"/>
      <c r="Q298" s="1132"/>
      <c r="R298" s="1132"/>
      <c r="S298" s="1132"/>
      <c r="T298" s="1132"/>
      <c r="U298" s="1133" t="e">
        <f t="shared" si="104"/>
        <v>#DIV/0!</v>
      </c>
      <c r="V298" s="565"/>
      <c r="W298" s="564"/>
      <c r="X298" s="564"/>
    </row>
    <row r="299" spans="1:25" ht="22.5" customHeight="1" thickTop="1" thickBot="1" x14ac:dyDescent="0.3">
      <c r="A299" s="28" t="s">
        <v>127</v>
      </c>
      <c r="B299" s="91" t="s">
        <v>134</v>
      </c>
      <c r="C299" s="91" t="s">
        <v>146</v>
      </c>
      <c r="D299" s="91" t="s">
        <v>139</v>
      </c>
      <c r="E299" s="91" t="s">
        <v>147</v>
      </c>
      <c r="F299" s="91" t="s">
        <v>129</v>
      </c>
      <c r="G299" s="565" t="s">
        <v>139</v>
      </c>
      <c r="H299" s="91"/>
      <c r="I299" s="91"/>
      <c r="J299" s="88" t="s">
        <v>1470</v>
      </c>
      <c r="K299" s="1132"/>
      <c r="L299" s="1132"/>
      <c r="M299" s="1132"/>
      <c r="N299" s="1132">
        <f t="shared" si="97"/>
        <v>0</v>
      </c>
      <c r="O299" s="1132"/>
      <c r="P299" s="1132"/>
      <c r="Q299" s="1132"/>
      <c r="R299" s="1132"/>
      <c r="S299" s="1132"/>
      <c r="T299" s="1132"/>
      <c r="U299" s="1133" t="e">
        <f t="shared" si="104"/>
        <v>#DIV/0!</v>
      </c>
      <c r="V299" s="565"/>
      <c r="W299" s="564"/>
      <c r="X299" s="564"/>
    </row>
    <row r="300" spans="1:25" ht="22.5" customHeight="1" thickTop="1" thickBot="1" x14ac:dyDescent="0.3">
      <c r="A300" s="564" t="s">
        <v>127</v>
      </c>
      <c r="B300" s="565" t="s">
        <v>134</v>
      </c>
      <c r="C300" s="565" t="s">
        <v>146</v>
      </c>
      <c r="D300" s="565" t="s">
        <v>139</v>
      </c>
      <c r="E300" s="565" t="s">
        <v>180</v>
      </c>
      <c r="F300" s="91"/>
      <c r="G300" s="91"/>
      <c r="H300" s="91"/>
      <c r="I300" s="91"/>
      <c r="J300" s="566" t="s">
        <v>1471</v>
      </c>
      <c r="K300" s="1132">
        <f>+K301</f>
        <v>0</v>
      </c>
      <c r="L300" s="1132">
        <f>+L301</f>
        <v>0</v>
      </c>
      <c r="M300" s="1132">
        <f>+M301</f>
        <v>0</v>
      </c>
      <c r="N300" s="1132">
        <f t="shared" si="97"/>
        <v>0</v>
      </c>
      <c r="O300" s="1132">
        <f t="shared" ref="O300:T300" si="113">+O301</f>
        <v>0</v>
      </c>
      <c r="P300" s="1132">
        <f t="shared" si="113"/>
        <v>0</v>
      </c>
      <c r="Q300" s="1132">
        <f t="shared" si="113"/>
        <v>0</v>
      </c>
      <c r="R300" s="1132">
        <f t="shared" si="113"/>
        <v>0</v>
      </c>
      <c r="S300" s="1132">
        <f>+S301</f>
        <v>0</v>
      </c>
      <c r="T300" s="1132">
        <f t="shared" si="113"/>
        <v>0</v>
      </c>
      <c r="U300" s="1133" t="e">
        <f t="shared" si="104"/>
        <v>#DIV/0!</v>
      </c>
      <c r="V300" s="565"/>
      <c r="W300" s="564"/>
      <c r="X300" s="564"/>
    </row>
    <row r="301" spans="1:25" ht="22.5" customHeight="1" thickTop="1" thickBot="1" x14ac:dyDescent="0.3">
      <c r="A301" s="28" t="s">
        <v>127</v>
      </c>
      <c r="B301" s="91" t="s">
        <v>134</v>
      </c>
      <c r="C301" s="91" t="s">
        <v>146</v>
      </c>
      <c r="D301" s="91" t="s">
        <v>139</v>
      </c>
      <c r="E301" s="91" t="s">
        <v>180</v>
      </c>
      <c r="F301" s="565" t="s">
        <v>129</v>
      </c>
      <c r="G301" s="91"/>
      <c r="H301" s="91"/>
      <c r="I301" s="91"/>
      <c r="J301" s="88" t="s">
        <v>1472</v>
      </c>
      <c r="K301" s="1132"/>
      <c r="L301" s="1132"/>
      <c r="M301" s="1132"/>
      <c r="N301" s="1132">
        <f t="shared" si="97"/>
        <v>0</v>
      </c>
      <c r="O301" s="1132"/>
      <c r="P301" s="1132"/>
      <c r="Q301" s="1132"/>
      <c r="R301" s="1132"/>
      <c r="S301" s="1132"/>
      <c r="T301" s="1132"/>
      <c r="U301" s="1133" t="e">
        <f t="shared" si="104"/>
        <v>#DIV/0!</v>
      </c>
      <c r="V301" s="565"/>
      <c r="W301" s="564"/>
      <c r="X301" s="564"/>
    </row>
    <row r="302" spans="1:25" ht="36" customHeight="1" thickTop="1" x14ac:dyDescent="0.25"/>
    <row r="303" spans="1:25" ht="36" customHeight="1" x14ac:dyDescent="0.25">
      <c r="K303" s="542"/>
    </row>
  </sheetData>
  <autoFilter ref="A6:Y524" xr:uid="{A7ABA035-AB69-4A92-BF45-9D86E5D6ADB1}"/>
  <mergeCells count="16">
    <mergeCell ref="A1:V1"/>
    <mergeCell ref="A2:V2"/>
    <mergeCell ref="A3:V3"/>
    <mergeCell ref="A4:V4"/>
    <mergeCell ref="J5:J6"/>
    <mergeCell ref="L5:M5"/>
    <mergeCell ref="N5:N6"/>
    <mergeCell ref="O5:R5"/>
    <mergeCell ref="S5:S6"/>
    <mergeCell ref="W5:W6"/>
    <mergeCell ref="X5:X6"/>
    <mergeCell ref="A5:I5"/>
    <mergeCell ref="K5:K6"/>
    <mergeCell ref="T5:T6"/>
    <mergeCell ref="U5:U6"/>
    <mergeCell ref="V5:V6"/>
  </mergeCells>
  <printOptions horizontalCentered="1" verticalCentered="1"/>
  <pageMargins left="0.78740157480314965" right="0.78740157480314965" top="0.98425196850393704" bottom="0.98425196850393704" header="0" footer="0"/>
  <pageSetup paperSize="9" scale="1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C3FB-F8CE-4130-904B-4276A279B670}">
  <dimension ref="A1:B19"/>
  <sheetViews>
    <sheetView topLeftCell="A16" workbookViewId="0">
      <selection activeCell="E8" sqref="E8"/>
    </sheetView>
  </sheetViews>
  <sheetFormatPr baseColWidth="10" defaultColWidth="11.42578125" defaultRowHeight="12.75" x14ac:dyDescent="0.25"/>
  <cols>
    <col min="1" max="1" width="34.140625" style="73" customWidth="1"/>
    <col min="2" max="2" width="70.5703125" style="73" customWidth="1"/>
    <col min="3" max="16384" width="11.42578125" style="73"/>
  </cols>
  <sheetData>
    <row r="1" spans="1:2" ht="13.5" thickBot="1" x14ac:dyDescent="0.3">
      <c r="A1" s="1975"/>
      <c r="B1" s="1975"/>
    </row>
    <row r="2" spans="1:2" ht="13.5" thickBot="1" x14ac:dyDescent="0.3">
      <c r="A2" s="1976" t="s">
        <v>250</v>
      </c>
      <c r="B2" s="1977"/>
    </row>
    <row r="3" spans="1:2" ht="13.5" thickBot="1" x14ac:dyDescent="0.3">
      <c r="A3" s="1829" t="s">
        <v>38</v>
      </c>
      <c r="B3" s="1978"/>
    </row>
    <row r="4" spans="1:2" ht="13.5" thickBot="1" x14ac:dyDescent="0.3">
      <c r="A4" s="74" t="s">
        <v>251</v>
      </c>
      <c r="B4" s="74" t="s">
        <v>40</v>
      </c>
    </row>
    <row r="5" spans="1:2" ht="26.25" thickBot="1" x14ac:dyDescent="0.3">
      <c r="A5" s="75" t="s">
        <v>252</v>
      </c>
      <c r="B5" s="76" t="s">
        <v>253</v>
      </c>
    </row>
    <row r="6" spans="1:2" ht="14.25" thickTop="1" thickBot="1" x14ac:dyDescent="0.3">
      <c r="A6" s="77" t="s">
        <v>254</v>
      </c>
      <c r="B6" s="76" t="s">
        <v>255</v>
      </c>
    </row>
    <row r="7" spans="1:2" ht="27" thickTop="1" thickBot="1" x14ac:dyDescent="0.3">
      <c r="A7" s="77" t="s">
        <v>256</v>
      </c>
      <c r="B7" s="78" t="s">
        <v>257</v>
      </c>
    </row>
    <row r="8" spans="1:2" ht="52.5" thickTop="1" thickBot="1" x14ac:dyDescent="0.3">
      <c r="A8" s="77" t="s">
        <v>258</v>
      </c>
      <c r="B8" s="76" t="s">
        <v>259</v>
      </c>
    </row>
    <row r="9" spans="1:2" ht="52.5" thickTop="1" thickBot="1" x14ac:dyDescent="0.3">
      <c r="A9" s="79" t="s">
        <v>260</v>
      </c>
      <c r="B9" s="76" t="s">
        <v>261</v>
      </c>
    </row>
    <row r="10" spans="1:2" ht="27" thickTop="1" thickBot="1" x14ac:dyDescent="0.3">
      <c r="A10" s="79" t="s">
        <v>262</v>
      </c>
      <c r="B10" s="76" t="s">
        <v>263</v>
      </c>
    </row>
    <row r="11" spans="1:2" ht="27" thickTop="1" thickBot="1" x14ac:dyDescent="0.3">
      <c r="A11" s="80" t="s">
        <v>264</v>
      </c>
      <c r="B11" s="78" t="s">
        <v>265</v>
      </c>
    </row>
    <row r="12" spans="1:2" ht="27" thickTop="1" thickBot="1" x14ac:dyDescent="0.3">
      <c r="A12" s="77" t="s">
        <v>266</v>
      </c>
      <c r="B12" s="78" t="s">
        <v>267</v>
      </c>
    </row>
    <row r="13" spans="1:2" ht="90.75" thickTop="1" thickBot="1" x14ac:dyDescent="0.3">
      <c r="A13" s="80" t="s">
        <v>268</v>
      </c>
      <c r="B13" s="76" t="s">
        <v>269</v>
      </c>
    </row>
    <row r="14" spans="1:2" ht="39.75" thickTop="1" thickBot="1" x14ac:dyDescent="0.3">
      <c r="A14" s="80" t="s">
        <v>270</v>
      </c>
      <c r="B14" s="76" t="s">
        <v>271</v>
      </c>
    </row>
    <row r="15" spans="1:2" ht="78" thickTop="1" thickBot="1" x14ac:dyDescent="0.3">
      <c r="A15" s="81" t="s">
        <v>272</v>
      </c>
      <c r="B15" s="78" t="s">
        <v>273</v>
      </c>
    </row>
    <row r="16" spans="1:2" ht="14.25" thickTop="1" thickBot="1" x14ac:dyDescent="0.3">
      <c r="A16" s="77" t="s">
        <v>274</v>
      </c>
      <c r="B16" s="78" t="s">
        <v>275</v>
      </c>
    </row>
    <row r="17" spans="1:2" ht="27" thickTop="1" thickBot="1" x14ac:dyDescent="0.3">
      <c r="A17" s="82" t="s">
        <v>276</v>
      </c>
      <c r="B17" s="78" t="s">
        <v>277</v>
      </c>
    </row>
    <row r="18" spans="1:2" ht="27" thickTop="1" thickBot="1" x14ac:dyDescent="0.3">
      <c r="A18" s="77" t="s">
        <v>278</v>
      </c>
      <c r="B18" s="83" t="s">
        <v>279</v>
      </c>
    </row>
    <row r="19" spans="1:2" ht="13.5" thickTop="1" x14ac:dyDescent="0.25"/>
  </sheetData>
  <mergeCells count="3">
    <mergeCell ref="A1:B1"/>
    <mergeCell ref="A2:B2"/>
    <mergeCell ref="A3:B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AC171"/>
  <sheetViews>
    <sheetView zoomScaleNormal="100" zoomScaleSheetLayoutView="100" workbookViewId="0">
      <selection activeCell="O17" sqref="O17"/>
    </sheetView>
  </sheetViews>
  <sheetFormatPr baseColWidth="10" defaultColWidth="14.42578125" defaultRowHeight="15" x14ac:dyDescent="0.25"/>
  <cols>
    <col min="1" max="1" width="8.7109375" style="89" customWidth="1"/>
    <col min="2" max="2" width="7.7109375" style="89" customWidth="1"/>
    <col min="3" max="3" width="10.140625" style="89" customWidth="1"/>
    <col min="4" max="4" width="7" style="89" customWidth="1"/>
    <col min="5" max="5" width="8.5703125" style="89" customWidth="1"/>
    <col min="6" max="6" width="7.7109375" style="89" customWidth="1"/>
    <col min="7" max="7" width="8.28515625" style="89" customWidth="1"/>
    <col min="8" max="8" width="65.5703125" style="89" customWidth="1"/>
    <col min="9" max="9" width="20.28515625" style="522" customWidth="1"/>
    <col min="10" max="28" width="20.28515625" style="89" customWidth="1"/>
    <col min="29" max="29" width="51.42578125" style="89" customWidth="1"/>
    <col min="30" max="16384" width="14.42578125" style="89"/>
  </cols>
  <sheetData>
    <row r="1" spans="1:29" ht="15.75" thickBot="1" x14ac:dyDescent="0.3"/>
    <row r="2" spans="1:29" ht="45" customHeight="1" thickTop="1" thickBot="1" x14ac:dyDescent="0.3">
      <c r="A2" s="1984" t="s">
        <v>114</v>
      </c>
      <c r="B2" s="1984" t="s">
        <v>50</v>
      </c>
      <c r="C2" s="1982" t="s">
        <v>115</v>
      </c>
      <c r="D2" s="1984" t="s">
        <v>53</v>
      </c>
      <c r="E2" s="1984" t="s">
        <v>116</v>
      </c>
      <c r="F2" s="1984" t="s">
        <v>117</v>
      </c>
      <c r="G2" s="1984" t="s">
        <v>118</v>
      </c>
      <c r="H2" s="1982" t="s">
        <v>244</v>
      </c>
      <c r="I2" s="1979" t="s">
        <v>198</v>
      </c>
      <c r="J2" s="1980"/>
      <c r="K2" s="1980"/>
      <c r="L2" s="1981"/>
      <c r="M2" s="1979" t="s">
        <v>199</v>
      </c>
      <c r="N2" s="1980"/>
      <c r="O2" s="1980"/>
      <c r="P2" s="1981"/>
      <c r="Q2" s="1979" t="s">
        <v>200</v>
      </c>
      <c r="R2" s="1980"/>
      <c r="S2" s="1980"/>
      <c r="T2" s="1981"/>
      <c r="U2" s="1979" t="s">
        <v>201</v>
      </c>
      <c r="V2" s="1980"/>
      <c r="W2" s="1980"/>
      <c r="X2" s="1981"/>
      <c r="Y2" s="1979" t="s">
        <v>202</v>
      </c>
      <c r="Z2" s="1980"/>
      <c r="AA2" s="1980"/>
      <c r="AB2" s="1981"/>
      <c r="AC2" s="31" t="s">
        <v>203</v>
      </c>
    </row>
    <row r="3" spans="1:29" ht="16.5" thickTop="1" thickBot="1" x14ac:dyDescent="0.3">
      <c r="A3" s="1985"/>
      <c r="B3" s="1985"/>
      <c r="C3" s="1983"/>
      <c r="D3" s="1985"/>
      <c r="E3" s="1985"/>
      <c r="F3" s="1985"/>
      <c r="G3" s="1985"/>
      <c r="H3" s="1983"/>
      <c r="I3" s="32" t="s">
        <v>204</v>
      </c>
      <c r="J3" s="1108" t="s">
        <v>205</v>
      </c>
      <c r="K3" s="1108" t="s">
        <v>206</v>
      </c>
      <c r="L3" s="1108" t="s">
        <v>207</v>
      </c>
      <c r="M3" s="1108" t="s">
        <v>204</v>
      </c>
      <c r="N3" s="1108" t="s">
        <v>205</v>
      </c>
      <c r="O3" s="1108" t="s">
        <v>206</v>
      </c>
      <c r="P3" s="1108" t="s">
        <v>207</v>
      </c>
      <c r="Q3" s="1108" t="s">
        <v>204</v>
      </c>
      <c r="R3" s="1108" t="s">
        <v>205</v>
      </c>
      <c r="S3" s="1108" t="s">
        <v>206</v>
      </c>
      <c r="T3" s="1108" t="s">
        <v>207</v>
      </c>
      <c r="U3" s="1108" t="s">
        <v>204</v>
      </c>
      <c r="V3" s="1108" t="s">
        <v>205</v>
      </c>
      <c r="W3" s="1108" t="s">
        <v>206</v>
      </c>
      <c r="X3" s="1108" t="s">
        <v>207</v>
      </c>
      <c r="Y3" s="1108" t="s">
        <v>204</v>
      </c>
      <c r="Z3" s="1108" t="s">
        <v>205</v>
      </c>
      <c r="AA3" s="1108" t="s">
        <v>206</v>
      </c>
      <c r="AB3" s="1108" t="s">
        <v>208</v>
      </c>
      <c r="AC3" s="1108"/>
    </row>
    <row r="4" spans="1:29" ht="16.5" thickTop="1" thickBot="1" x14ac:dyDescent="0.3">
      <c r="A4" s="33" t="s">
        <v>209</v>
      </c>
      <c r="B4" s="33" t="s">
        <v>129</v>
      </c>
      <c r="C4" s="33"/>
      <c r="D4" s="33"/>
      <c r="E4" s="33"/>
      <c r="F4" s="33"/>
      <c r="G4" s="33"/>
      <c r="H4" s="34" t="s">
        <v>210</v>
      </c>
      <c r="I4" s="523">
        <f>+I5+I6+I9+I24</f>
        <v>10459000476</v>
      </c>
      <c r="J4" s="523">
        <f t="shared" ref="J4:X4" si="0">+J5+J6+J9+J24</f>
        <v>8963349703.8800011</v>
      </c>
      <c r="K4" s="523">
        <f t="shared" si="0"/>
        <v>8891911393.8800011</v>
      </c>
      <c r="L4" s="523">
        <f t="shared" si="0"/>
        <v>8129306461.8800001</v>
      </c>
      <c r="M4" s="36">
        <f t="shared" si="0"/>
        <v>2188639680</v>
      </c>
      <c r="N4" s="36">
        <f t="shared" si="0"/>
        <v>2188639680</v>
      </c>
      <c r="O4" s="36">
        <f t="shared" si="0"/>
        <v>2188639680</v>
      </c>
      <c r="P4" s="36">
        <f t="shared" si="0"/>
        <v>2188639680</v>
      </c>
      <c r="Q4" s="36">
        <f t="shared" si="0"/>
        <v>0</v>
      </c>
      <c r="R4" s="36">
        <f t="shared" si="0"/>
        <v>0</v>
      </c>
      <c r="S4" s="36">
        <f t="shared" si="0"/>
        <v>0</v>
      </c>
      <c r="T4" s="36">
        <f t="shared" si="0"/>
        <v>0</v>
      </c>
      <c r="U4" s="36">
        <f t="shared" si="0"/>
        <v>0</v>
      </c>
      <c r="V4" s="36">
        <f t="shared" si="0"/>
        <v>0</v>
      </c>
      <c r="W4" s="36">
        <f t="shared" si="0"/>
        <v>0</v>
      </c>
      <c r="X4" s="36">
        <f t="shared" si="0"/>
        <v>0</v>
      </c>
      <c r="Y4" s="36">
        <f>+I4+M4+Q4+U4</f>
        <v>12647640156</v>
      </c>
      <c r="Z4" s="36">
        <f t="shared" ref="Z4:AB19" si="1">+J4+N4+R4+V4</f>
        <v>11151989383.880001</v>
      </c>
      <c r="AA4" s="36">
        <f t="shared" si="1"/>
        <v>11080551073.880001</v>
      </c>
      <c r="AB4" s="36">
        <f t="shared" si="1"/>
        <v>10317946141.880001</v>
      </c>
      <c r="AC4" s="37"/>
    </row>
    <row r="5" spans="1:29" ht="16.5" thickTop="1" thickBot="1" x14ac:dyDescent="0.3">
      <c r="A5" s="38" t="s">
        <v>209</v>
      </c>
      <c r="B5" s="38" t="s">
        <v>129</v>
      </c>
      <c r="C5" s="38" t="s">
        <v>129</v>
      </c>
      <c r="D5" s="38"/>
      <c r="E5" s="38"/>
      <c r="F5" s="38"/>
      <c r="G5" s="38"/>
      <c r="H5" s="39" t="s">
        <v>54</v>
      </c>
      <c r="I5" s="524">
        <v>4197100921.4400001</v>
      </c>
      <c r="J5" s="524">
        <v>3715028343</v>
      </c>
      <c r="K5" s="524">
        <v>3715028343</v>
      </c>
      <c r="L5" s="524">
        <v>3574464797</v>
      </c>
      <c r="M5" s="41">
        <v>2178751680</v>
      </c>
      <c r="N5" s="41">
        <v>2178751680</v>
      </c>
      <c r="O5" s="41">
        <v>2178751680</v>
      </c>
      <c r="P5" s="41">
        <v>2178751680</v>
      </c>
      <c r="Q5" s="41"/>
      <c r="R5" s="41"/>
      <c r="S5" s="41"/>
      <c r="T5" s="41"/>
      <c r="U5" s="41"/>
      <c r="V5" s="41"/>
      <c r="W5" s="41"/>
      <c r="X5" s="41"/>
      <c r="Y5" s="41">
        <f t="shared" ref="Y5:AB46" si="2">+I5+M5+Q5+U5</f>
        <v>6375852601.4400005</v>
      </c>
      <c r="Z5" s="41">
        <f t="shared" si="1"/>
        <v>5893780023</v>
      </c>
      <c r="AA5" s="41">
        <f t="shared" si="1"/>
        <v>5893780023</v>
      </c>
      <c r="AB5" s="41">
        <f t="shared" si="1"/>
        <v>5753216477</v>
      </c>
      <c r="AC5" s="37"/>
    </row>
    <row r="6" spans="1:29" ht="16.5" thickTop="1" thickBot="1" x14ac:dyDescent="0.3">
      <c r="A6" s="42">
        <v>2</v>
      </c>
      <c r="B6" s="38" t="s">
        <v>129</v>
      </c>
      <c r="C6" s="38" t="s">
        <v>134</v>
      </c>
      <c r="D6" s="38"/>
      <c r="E6" s="38"/>
      <c r="F6" s="38"/>
      <c r="G6" s="38"/>
      <c r="H6" s="39" t="s">
        <v>211</v>
      </c>
      <c r="I6" s="524">
        <f>+I7+I8</f>
        <v>1286388833.4000001</v>
      </c>
      <c r="J6" s="524">
        <f t="shared" ref="J6:X6" si="3">+J7+J8</f>
        <v>1084493781.8800001</v>
      </c>
      <c r="K6" s="524">
        <f t="shared" si="3"/>
        <v>1013055471.88</v>
      </c>
      <c r="L6" s="524">
        <f t="shared" si="3"/>
        <v>988884976.88</v>
      </c>
      <c r="M6" s="41">
        <f t="shared" si="3"/>
        <v>0</v>
      </c>
      <c r="N6" s="41">
        <f t="shared" si="3"/>
        <v>0</v>
      </c>
      <c r="O6" s="41">
        <f t="shared" si="3"/>
        <v>0</v>
      </c>
      <c r="P6" s="41">
        <f t="shared" si="3"/>
        <v>0</v>
      </c>
      <c r="Q6" s="41">
        <f t="shared" si="3"/>
        <v>0</v>
      </c>
      <c r="R6" s="41">
        <f t="shared" si="3"/>
        <v>0</v>
      </c>
      <c r="S6" s="41">
        <f t="shared" si="3"/>
        <v>0</v>
      </c>
      <c r="T6" s="41">
        <f t="shared" si="3"/>
        <v>0</v>
      </c>
      <c r="U6" s="41">
        <f t="shared" si="3"/>
        <v>0</v>
      </c>
      <c r="V6" s="41">
        <f t="shared" si="3"/>
        <v>0</v>
      </c>
      <c r="W6" s="41">
        <f t="shared" si="3"/>
        <v>0</v>
      </c>
      <c r="X6" s="41">
        <f t="shared" si="3"/>
        <v>0</v>
      </c>
      <c r="Y6" s="41">
        <f t="shared" si="2"/>
        <v>1286388833.4000001</v>
      </c>
      <c r="Z6" s="41">
        <f t="shared" si="1"/>
        <v>1084493781.8800001</v>
      </c>
      <c r="AA6" s="41">
        <f t="shared" si="1"/>
        <v>1013055471.88</v>
      </c>
      <c r="AB6" s="41">
        <f t="shared" si="1"/>
        <v>988884976.88</v>
      </c>
      <c r="AC6" s="37"/>
    </row>
    <row r="7" spans="1:29" ht="16.5" thickTop="1" thickBot="1" x14ac:dyDescent="0.3">
      <c r="A7" s="43">
        <v>2</v>
      </c>
      <c r="B7" s="44" t="s">
        <v>129</v>
      </c>
      <c r="C7" s="44" t="s">
        <v>134</v>
      </c>
      <c r="D7" s="44" t="s">
        <v>129</v>
      </c>
      <c r="E7" s="45"/>
      <c r="F7" s="45"/>
      <c r="G7" s="45"/>
      <c r="H7" s="46" t="s">
        <v>212</v>
      </c>
      <c r="I7" s="525">
        <v>5000000</v>
      </c>
      <c r="J7" s="525">
        <v>4000000</v>
      </c>
      <c r="K7" s="525">
        <v>2436342</v>
      </c>
      <c r="L7" s="525">
        <v>2436342</v>
      </c>
      <c r="M7" s="48"/>
      <c r="N7" s="48"/>
      <c r="O7" s="48"/>
      <c r="P7" s="48"/>
      <c r="Q7" s="48"/>
      <c r="R7" s="48"/>
      <c r="S7" s="48"/>
      <c r="T7" s="48"/>
      <c r="U7" s="48"/>
      <c r="V7" s="48"/>
      <c r="W7" s="48"/>
      <c r="X7" s="48"/>
      <c r="Y7" s="48">
        <f t="shared" si="2"/>
        <v>5000000</v>
      </c>
      <c r="Z7" s="48">
        <f t="shared" si="1"/>
        <v>4000000</v>
      </c>
      <c r="AA7" s="48">
        <f t="shared" si="1"/>
        <v>2436342</v>
      </c>
      <c r="AB7" s="48">
        <f t="shared" si="1"/>
        <v>2436342</v>
      </c>
      <c r="AC7" s="37"/>
    </row>
    <row r="8" spans="1:29" ht="16.5" thickTop="1" thickBot="1" x14ac:dyDescent="0.3">
      <c r="A8" s="43">
        <v>2</v>
      </c>
      <c r="B8" s="44" t="s">
        <v>129</v>
      </c>
      <c r="C8" s="44" t="s">
        <v>134</v>
      </c>
      <c r="D8" s="44" t="s">
        <v>129</v>
      </c>
      <c r="E8" s="45"/>
      <c r="F8" s="45"/>
      <c r="G8" s="45"/>
      <c r="H8" s="46" t="s">
        <v>213</v>
      </c>
      <c r="I8" s="525">
        <v>1281388833.4000001</v>
      </c>
      <c r="J8" s="525">
        <v>1080493781.8800001</v>
      </c>
      <c r="K8" s="525">
        <v>1010619129.88</v>
      </c>
      <c r="L8" s="525">
        <v>986448634.88</v>
      </c>
      <c r="M8" s="48"/>
      <c r="N8" s="48"/>
      <c r="O8" s="48"/>
      <c r="P8" s="48"/>
      <c r="Q8" s="48"/>
      <c r="R8" s="48"/>
      <c r="S8" s="48"/>
      <c r="T8" s="48"/>
      <c r="U8" s="48"/>
      <c r="V8" s="48"/>
      <c r="W8" s="48"/>
      <c r="X8" s="48"/>
      <c r="Y8" s="48">
        <f t="shared" si="2"/>
        <v>1281388833.4000001</v>
      </c>
      <c r="Z8" s="48">
        <f t="shared" si="1"/>
        <v>1080493781.8800001</v>
      </c>
      <c r="AA8" s="48">
        <f t="shared" si="1"/>
        <v>1010619129.88</v>
      </c>
      <c r="AB8" s="48">
        <f t="shared" si="1"/>
        <v>986448634.88</v>
      </c>
      <c r="AC8" s="37"/>
    </row>
    <row r="9" spans="1:29" s="526" customFormat="1" ht="16.5" thickTop="1" thickBot="1" x14ac:dyDescent="0.3">
      <c r="A9" s="42">
        <v>2</v>
      </c>
      <c r="B9" s="38" t="s">
        <v>129</v>
      </c>
      <c r="C9" s="38" t="s">
        <v>139</v>
      </c>
      <c r="D9" s="38"/>
      <c r="E9" s="38"/>
      <c r="F9" s="38"/>
      <c r="G9" s="38"/>
      <c r="H9" s="39" t="s">
        <v>55</v>
      </c>
      <c r="I9" s="40">
        <f>+I10</f>
        <v>4654425550.1600008</v>
      </c>
      <c r="J9" s="40">
        <f>+J10</f>
        <v>3849609739</v>
      </c>
      <c r="K9" s="40">
        <f t="shared" ref="K9:L9" si="4">+K10</f>
        <v>3849609739</v>
      </c>
      <c r="L9" s="40">
        <f t="shared" si="4"/>
        <v>3251738848</v>
      </c>
      <c r="M9" s="41">
        <f t="shared" ref="M9:X9" si="5">+M10+M15+M21</f>
        <v>0</v>
      </c>
      <c r="N9" s="41">
        <f t="shared" si="5"/>
        <v>0</v>
      </c>
      <c r="O9" s="41">
        <f t="shared" si="5"/>
        <v>0</v>
      </c>
      <c r="P9" s="41">
        <f t="shared" si="5"/>
        <v>0</v>
      </c>
      <c r="Q9" s="41">
        <f t="shared" si="5"/>
        <v>0</v>
      </c>
      <c r="R9" s="41">
        <f t="shared" si="5"/>
        <v>0</v>
      </c>
      <c r="S9" s="41">
        <f t="shared" si="5"/>
        <v>0</v>
      </c>
      <c r="T9" s="41">
        <f t="shared" si="5"/>
        <v>0</v>
      </c>
      <c r="U9" s="41">
        <f t="shared" si="5"/>
        <v>0</v>
      </c>
      <c r="V9" s="41">
        <f t="shared" si="5"/>
        <v>0</v>
      </c>
      <c r="W9" s="41">
        <f t="shared" si="5"/>
        <v>0</v>
      </c>
      <c r="X9" s="41">
        <f t="shared" si="5"/>
        <v>0</v>
      </c>
      <c r="Y9" s="40">
        <f t="shared" ref="Y9:AB9" si="6">+Y10</f>
        <v>4654425550.1600008</v>
      </c>
      <c r="Z9" s="40">
        <f t="shared" si="6"/>
        <v>3849609739</v>
      </c>
      <c r="AA9" s="40">
        <f t="shared" si="6"/>
        <v>3849609739</v>
      </c>
      <c r="AB9" s="40">
        <f t="shared" si="6"/>
        <v>3251738848</v>
      </c>
      <c r="AC9" s="37"/>
    </row>
    <row r="10" spans="1:29" s="526" customFormat="1" ht="16.5" thickTop="1" thickBot="1" x14ac:dyDescent="0.3">
      <c r="A10" s="49">
        <v>2</v>
      </c>
      <c r="B10" s="50" t="s">
        <v>129</v>
      </c>
      <c r="C10" s="50" t="s">
        <v>139</v>
      </c>
      <c r="D10" s="50" t="s">
        <v>129</v>
      </c>
      <c r="E10" s="50"/>
      <c r="F10" s="50"/>
      <c r="G10" s="50"/>
      <c r="H10" s="51" t="s">
        <v>214</v>
      </c>
      <c r="I10" s="52">
        <f>+I11+I15</f>
        <v>4654425550.1600008</v>
      </c>
      <c r="J10" s="53">
        <f t="shared" ref="J10:X10" si="7">+J11+J15</f>
        <v>3849609739</v>
      </c>
      <c r="K10" s="53">
        <f t="shared" si="7"/>
        <v>3849609739</v>
      </c>
      <c r="L10" s="53">
        <f t="shared" si="7"/>
        <v>3251738848</v>
      </c>
      <c r="M10" s="53">
        <f t="shared" si="7"/>
        <v>0</v>
      </c>
      <c r="N10" s="53">
        <f t="shared" si="7"/>
        <v>0</v>
      </c>
      <c r="O10" s="53">
        <f t="shared" si="7"/>
        <v>0</v>
      </c>
      <c r="P10" s="53">
        <f t="shared" si="7"/>
        <v>0</v>
      </c>
      <c r="Q10" s="53">
        <f t="shared" si="7"/>
        <v>0</v>
      </c>
      <c r="R10" s="53">
        <f t="shared" si="7"/>
        <v>0</v>
      </c>
      <c r="S10" s="53">
        <f t="shared" si="7"/>
        <v>0</v>
      </c>
      <c r="T10" s="53">
        <f t="shared" si="7"/>
        <v>0</v>
      </c>
      <c r="U10" s="53">
        <f t="shared" si="7"/>
        <v>0</v>
      </c>
      <c r="V10" s="53">
        <f t="shared" si="7"/>
        <v>0</v>
      </c>
      <c r="W10" s="53">
        <f t="shared" si="7"/>
        <v>0</v>
      </c>
      <c r="X10" s="53">
        <f t="shared" si="7"/>
        <v>0</v>
      </c>
      <c r="Y10" s="53">
        <f t="shared" si="2"/>
        <v>4654425550.1600008</v>
      </c>
      <c r="Z10" s="53">
        <f t="shared" si="1"/>
        <v>3849609739</v>
      </c>
      <c r="AA10" s="53">
        <f t="shared" si="1"/>
        <v>3849609739</v>
      </c>
      <c r="AB10" s="53">
        <f t="shared" si="1"/>
        <v>3251738848</v>
      </c>
      <c r="AC10" s="37"/>
    </row>
    <row r="11" spans="1:29" s="528" customFormat="1" ht="16.5" thickTop="1" thickBot="1" x14ac:dyDescent="0.3">
      <c r="A11" s="43"/>
      <c r="B11" s="44" t="s">
        <v>129</v>
      </c>
      <c r="C11" s="44" t="s">
        <v>139</v>
      </c>
      <c r="D11" s="44" t="s">
        <v>129</v>
      </c>
      <c r="E11" s="44" t="s">
        <v>129</v>
      </c>
      <c r="F11" s="44"/>
      <c r="G11" s="44"/>
      <c r="H11" s="46" t="s">
        <v>215</v>
      </c>
      <c r="I11" s="527">
        <f>+I12</f>
        <v>4601885435.0600004</v>
      </c>
      <c r="J11" s="527">
        <f t="shared" ref="J11:X11" si="8">+J12</f>
        <v>3800030976</v>
      </c>
      <c r="K11" s="527">
        <f t="shared" si="8"/>
        <v>3800030976</v>
      </c>
      <c r="L11" s="55">
        <f t="shared" si="8"/>
        <v>3202160085</v>
      </c>
      <c r="M11" s="55">
        <f t="shared" si="8"/>
        <v>0</v>
      </c>
      <c r="N11" s="55">
        <f t="shared" si="8"/>
        <v>0</v>
      </c>
      <c r="O11" s="55">
        <f t="shared" si="8"/>
        <v>0</v>
      </c>
      <c r="P11" s="55">
        <f t="shared" si="8"/>
        <v>0</v>
      </c>
      <c r="Q11" s="55">
        <f t="shared" si="8"/>
        <v>0</v>
      </c>
      <c r="R11" s="55">
        <f t="shared" si="8"/>
        <v>0</v>
      </c>
      <c r="S11" s="55">
        <f t="shared" si="8"/>
        <v>0</v>
      </c>
      <c r="T11" s="55">
        <f t="shared" si="8"/>
        <v>0</v>
      </c>
      <c r="U11" s="55">
        <f t="shared" si="8"/>
        <v>0</v>
      </c>
      <c r="V11" s="55">
        <f t="shared" si="8"/>
        <v>0</v>
      </c>
      <c r="W11" s="55">
        <f t="shared" si="8"/>
        <v>0</v>
      </c>
      <c r="X11" s="55">
        <f t="shared" si="8"/>
        <v>0</v>
      </c>
      <c r="Y11" s="55">
        <f t="shared" si="2"/>
        <v>4601885435.0600004</v>
      </c>
      <c r="Z11" s="55">
        <f t="shared" si="1"/>
        <v>3800030976</v>
      </c>
      <c r="AA11" s="55">
        <f t="shared" si="1"/>
        <v>3800030976</v>
      </c>
      <c r="AB11" s="55">
        <f t="shared" si="1"/>
        <v>3202160085</v>
      </c>
      <c r="AC11" s="37"/>
    </row>
    <row r="12" spans="1:29" ht="16.5" thickTop="1" thickBot="1" x14ac:dyDescent="0.3">
      <c r="A12" s="43">
        <v>2</v>
      </c>
      <c r="B12" s="44" t="s">
        <v>129</v>
      </c>
      <c r="C12" s="44" t="s">
        <v>139</v>
      </c>
      <c r="D12" s="44" t="s">
        <v>129</v>
      </c>
      <c r="E12" s="44" t="s">
        <v>129</v>
      </c>
      <c r="F12" s="44" t="s">
        <v>129</v>
      </c>
      <c r="G12" s="45"/>
      <c r="H12" s="46" t="s">
        <v>216</v>
      </c>
      <c r="I12" s="525">
        <f>+I13+I14</f>
        <v>4601885435.0600004</v>
      </c>
      <c r="J12" s="525">
        <f t="shared" ref="J12:X12" si="9">+J13+J14</f>
        <v>3800030976</v>
      </c>
      <c r="K12" s="525">
        <f t="shared" si="9"/>
        <v>3800030976</v>
      </c>
      <c r="L12" s="48">
        <f t="shared" si="9"/>
        <v>3202160085</v>
      </c>
      <c r="M12" s="48">
        <f t="shared" si="9"/>
        <v>0</v>
      </c>
      <c r="N12" s="48">
        <f t="shared" si="9"/>
        <v>0</v>
      </c>
      <c r="O12" s="48">
        <f t="shared" si="9"/>
        <v>0</v>
      </c>
      <c r="P12" s="48">
        <f t="shared" si="9"/>
        <v>0</v>
      </c>
      <c r="Q12" s="48">
        <f t="shared" si="9"/>
        <v>0</v>
      </c>
      <c r="R12" s="48">
        <f t="shared" si="9"/>
        <v>0</v>
      </c>
      <c r="S12" s="48">
        <f t="shared" si="9"/>
        <v>0</v>
      </c>
      <c r="T12" s="48">
        <f t="shared" si="9"/>
        <v>0</v>
      </c>
      <c r="U12" s="48">
        <f t="shared" si="9"/>
        <v>0</v>
      </c>
      <c r="V12" s="48">
        <f t="shared" si="9"/>
        <v>0</v>
      </c>
      <c r="W12" s="48">
        <f t="shared" si="9"/>
        <v>0</v>
      </c>
      <c r="X12" s="48">
        <f t="shared" si="9"/>
        <v>0</v>
      </c>
      <c r="Y12" s="48">
        <f t="shared" si="2"/>
        <v>4601885435.0600004</v>
      </c>
      <c r="Z12" s="48">
        <f t="shared" si="1"/>
        <v>3800030976</v>
      </c>
      <c r="AA12" s="48">
        <f t="shared" si="1"/>
        <v>3800030976</v>
      </c>
      <c r="AB12" s="48">
        <f t="shared" si="1"/>
        <v>3202160085</v>
      </c>
      <c r="AC12" s="37"/>
    </row>
    <row r="13" spans="1:29" ht="16.5" thickTop="1" thickBot="1" x14ac:dyDescent="0.3">
      <c r="A13" s="43">
        <v>2</v>
      </c>
      <c r="B13" s="44" t="s">
        <v>129</v>
      </c>
      <c r="C13" s="44" t="s">
        <v>139</v>
      </c>
      <c r="D13" s="44" t="s">
        <v>129</v>
      </c>
      <c r="E13" s="44" t="s">
        <v>129</v>
      </c>
      <c r="F13" s="44" t="s">
        <v>129</v>
      </c>
      <c r="G13" s="44" t="s">
        <v>129</v>
      </c>
      <c r="H13" s="46" t="s">
        <v>217</v>
      </c>
      <c r="I13" s="525"/>
      <c r="J13" s="525"/>
      <c r="K13" s="525"/>
      <c r="L13" s="48"/>
      <c r="M13" s="48"/>
      <c r="N13" s="48"/>
      <c r="O13" s="48"/>
      <c r="P13" s="48"/>
      <c r="Q13" s="48"/>
      <c r="R13" s="48"/>
      <c r="S13" s="48"/>
      <c r="T13" s="48"/>
      <c r="U13" s="48"/>
      <c r="V13" s="48"/>
      <c r="W13" s="48"/>
      <c r="X13" s="48"/>
      <c r="Y13" s="48">
        <f t="shared" si="2"/>
        <v>0</v>
      </c>
      <c r="Z13" s="48">
        <f t="shared" si="1"/>
        <v>0</v>
      </c>
      <c r="AA13" s="48">
        <f t="shared" si="1"/>
        <v>0</v>
      </c>
      <c r="AB13" s="48">
        <f t="shared" si="1"/>
        <v>0</v>
      </c>
      <c r="AC13" s="37"/>
    </row>
    <row r="14" spans="1:29" ht="16.5" thickTop="1" thickBot="1" x14ac:dyDescent="0.3">
      <c r="A14" s="43">
        <v>2</v>
      </c>
      <c r="B14" s="44" t="s">
        <v>129</v>
      </c>
      <c r="C14" s="44" t="s">
        <v>139</v>
      </c>
      <c r="D14" s="44" t="s">
        <v>129</v>
      </c>
      <c r="E14" s="44" t="s">
        <v>129</v>
      </c>
      <c r="F14" s="44" t="s">
        <v>129</v>
      </c>
      <c r="G14" s="44" t="s">
        <v>134</v>
      </c>
      <c r="H14" s="46" t="s">
        <v>218</v>
      </c>
      <c r="I14" s="525">
        <v>4601885435.0600004</v>
      </c>
      <c r="J14" s="525">
        <v>3800030976</v>
      </c>
      <c r="K14" s="525">
        <v>3800030976</v>
      </c>
      <c r="L14" s="48">
        <v>3202160085</v>
      </c>
      <c r="M14" s="48"/>
      <c r="N14" s="48"/>
      <c r="O14" s="48"/>
      <c r="P14" s="48"/>
      <c r="Q14" s="48"/>
      <c r="R14" s="48"/>
      <c r="S14" s="48"/>
      <c r="T14" s="48"/>
      <c r="U14" s="48"/>
      <c r="V14" s="48"/>
      <c r="W14" s="48"/>
      <c r="X14" s="48"/>
      <c r="Y14" s="48">
        <f t="shared" si="2"/>
        <v>4601885435.0600004</v>
      </c>
      <c r="Z14" s="48">
        <f t="shared" si="1"/>
        <v>3800030976</v>
      </c>
      <c r="AA14" s="48">
        <f t="shared" si="1"/>
        <v>3800030976</v>
      </c>
      <c r="AB14" s="48">
        <f t="shared" si="1"/>
        <v>3202160085</v>
      </c>
      <c r="AC14" s="37"/>
    </row>
    <row r="15" spans="1:29" ht="16.5" thickTop="1" thickBot="1" x14ac:dyDescent="0.3">
      <c r="A15" s="43">
        <v>2</v>
      </c>
      <c r="B15" s="44" t="s">
        <v>129</v>
      </c>
      <c r="C15" s="44" t="s">
        <v>139</v>
      </c>
      <c r="D15" s="44" t="s">
        <v>129</v>
      </c>
      <c r="E15" s="44" t="s">
        <v>134</v>
      </c>
      <c r="F15" s="45"/>
      <c r="G15" s="45"/>
      <c r="H15" s="46" t="s">
        <v>219</v>
      </c>
      <c r="I15" s="47">
        <f>+I16</f>
        <v>52540115.100000001</v>
      </c>
      <c r="J15" s="525">
        <f t="shared" ref="J15:X15" si="10">+J16</f>
        <v>49578763</v>
      </c>
      <c r="K15" s="525">
        <f t="shared" si="10"/>
        <v>49578763</v>
      </c>
      <c r="L15" s="525">
        <f t="shared" si="10"/>
        <v>49578763</v>
      </c>
      <c r="M15" s="48">
        <f t="shared" si="10"/>
        <v>0</v>
      </c>
      <c r="N15" s="48">
        <f t="shared" si="10"/>
        <v>0</v>
      </c>
      <c r="O15" s="48">
        <f t="shared" si="10"/>
        <v>0</v>
      </c>
      <c r="P15" s="48">
        <f t="shared" si="10"/>
        <v>0</v>
      </c>
      <c r="Q15" s="48">
        <f t="shared" si="10"/>
        <v>0</v>
      </c>
      <c r="R15" s="48">
        <f t="shared" si="10"/>
        <v>0</v>
      </c>
      <c r="S15" s="48">
        <f t="shared" si="10"/>
        <v>0</v>
      </c>
      <c r="T15" s="48">
        <f t="shared" si="10"/>
        <v>0</v>
      </c>
      <c r="U15" s="48">
        <f t="shared" si="10"/>
        <v>0</v>
      </c>
      <c r="V15" s="48">
        <f t="shared" si="10"/>
        <v>0</v>
      </c>
      <c r="W15" s="48">
        <f t="shared" si="10"/>
        <v>0</v>
      </c>
      <c r="X15" s="48">
        <f t="shared" si="10"/>
        <v>0</v>
      </c>
      <c r="Y15" s="48">
        <f t="shared" si="2"/>
        <v>52540115.100000001</v>
      </c>
      <c r="Z15" s="48">
        <f t="shared" si="1"/>
        <v>49578763</v>
      </c>
      <c r="AA15" s="48">
        <f t="shared" si="1"/>
        <v>49578763</v>
      </c>
      <c r="AB15" s="48">
        <f t="shared" si="1"/>
        <v>49578763</v>
      </c>
      <c r="AC15" s="37"/>
    </row>
    <row r="16" spans="1:29" ht="16.5" thickTop="1" thickBot="1" x14ac:dyDescent="0.3">
      <c r="A16" s="43">
        <v>2</v>
      </c>
      <c r="B16" s="44" t="s">
        <v>129</v>
      </c>
      <c r="C16" s="44" t="s">
        <v>139</v>
      </c>
      <c r="D16" s="44" t="s">
        <v>129</v>
      </c>
      <c r="E16" s="44" t="s">
        <v>134</v>
      </c>
      <c r="F16" s="44" t="s">
        <v>129</v>
      </c>
      <c r="G16" s="44"/>
      <c r="H16" s="46" t="s">
        <v>220</v>
      </c>
      <c r="I16" s="47">
        <v>52540115.100000001</v>
      </c>
      <c r="J16" s="525">
        <v>49578763</v>
      </c>
      <c r="K16" s="525">
        <v>49578763</v>
      </c>
      <c r="L16" s="525">
        <v>49578763</v>
      </c>
      <c r="M16" s="48"/>
      <c r="N16" s="48"/>
      <c r="O16" s="48"/>
      <c r="P16" s="48"/>
      <c r="Q16" s="48"/>
      <c r="R16" s="48"/>
      <c r="S16" s="48"/>
      <c r="T16" s="48"/>
      <c r="U16" s="48"/>
      <c r="V16" s="48"/>
      <c r="W16" s="48"/>
      <c r="X16" s="48"/>
      <c r="Y16" s="48">
        <f t="shared" si="2"/>
        <v>52540115.100000001</v>
      </c>
      <c r="Z16" s="48">
        <f t="shared" si="1"/>
        <v>49578763</v>
      </c>
      <c r="AA16" s="48">
        <f t="shared" si="1"/>
        <v>49578763</v>
      </c>
      <c r="AB16" s="48">
        <f t="shared" si="1"/>
        <v>49578763</v>
      </c>
      <c r="AC16" s="37"/>
    </row>
    <row r="17" spans="1:29" s="526" customFormat="1" ht="16.5" thickTop="1" thickBot="1" x14ac:dyDescent="0.3">
      <c r="A17" s="49">
        <v>2</v>
      </c>
      <c r="B17" s="50" t="s">
        <v>129</v>
      </c>
      <c r="C17" s="50" t="s">
        <v>139</v>
      </c>
      <c r="D17" s="50" t="s">
        <v>134</v>
      </c>
      <c r="E17" s="50"/>
      <c r="F17" s="50"/>
      <c r="G17" s="50"/>
      <c r="H17" s="51" t="s">
        <v>221</v>
      </c>
      <c r="I17" s="52">
        <f>+I18</f>
        <v>0</v>
      </c>
      <c r="J17" s="53">
        <f t="shared" ref="J17:X17" si="11">+J18</f>
        <v>0</v>
      </c>
      <c r="K17" s="53">
        <f t="shared" si="11"/>
        <v>0</v>
      </c>
      <c r="L17" s="53">
        <f t="shared" si="11"/>
        <v>0</v>
      </c>
      <c r="M17" s="53">
        <f t="shared" si="11"/>
        <v>0</v>
      </c>
      <c r="N17" s="53">
        <f t="shared" si="11"/>
        <v>0</v>
      </c>
      <c r="O17" s="53">
        <f t="shared" si="11"/>
        <v>0</v>
      </c>
      <c r="P17" s="53">
        <f t="shared" si="11"/>
        <v>0</v>
      </c>
      <c r="Q17" s="53">
        <f t="shared" si="11"/>
        <v>0</v>
      </c>
      <c r="R17" s="53">
        <f t="shared" si="11"/>
        <v>0</v>
      </c>
      <c r="S17" s="53">
        <f t="shared" si="11"/>
        <v>0</v>
      </c>
      <c r="T17" s="53">
        <f t="shared" si="11"/>
        <v>0</v>
      </c>
      <c r="U17" s="53">
        <f t="shared" si="11"/>
        <v>0</v>
      </c>
      <c r="V17" s="53">
        <f t="shared" si="11"/>
        <v>0</v>
      </c>
      <c r="W17" s="53">
        <f t="shared" si="11"/>
        <v>0</v>
      </c>
      <c r="X17" s="53">
        <f t="shared" si="11"/>
        <v>0</v>
      </c>
      <c r="Y17" s="53">
        <f t="shared" si="2"/>
        <v>0</v>
      </c>
      <c r="Z17" s="53">
        <f t="shared" si="1"/>
        <v>0</v>
      </c>
      <c r="AA17" s="53">
        <f t="shared" si="1"/>
        <v>0</v>
      </c>
      <c r="AB17" s="53">
        <f t="shared" si="1"/>
        <v>0</v>
      </c>
      <c r="AC17" s="37"/>
    </row>
    <row r="18" spans="1:29" ht="16.5" thickTop="1" thickBot="1" x14ac:dyDescent="0.3">
      <c r="A18" s="43">
        <v>2</v>
      </c>
      <c r="B18" s="44" t="s">
        <v>129</v>
      </c>
      <c r="C18" s="44" t="s">
        <v>139</v>
      </c>
      <c r="D18" s="44" t="s">
        <v>134</v>
      </c>
      <c r="E18" s="44" t="s">
        <v>129</v>
      </c>
      <c r="F18" s="44"/>
      <c r="G18" s="44"/>
      <c r="H18" s="46" t="s">
        <v>222</v>
      </c>
      <c r="I18" s="47">
        <f>+I19+I20</f>
        <v>0</v>
      </c>
      <c r="J18" s="48">
        <f t="shared" ref="J18:X18" si="12">+J19+J20</f>
        <v>0</v>
      </c>
      <c r="K18" s="48">
        <f t="shared" si="12"/>
        <v>0</v>
      </c>
      <c r="L18" s="48">
        <f t="shared" si="12"/>
        <v>0</v>
      </c>
      <c r="M18" s="48">
        <f t="shared" si="12"/>
        <v>0</v>
      </c>
      <c r="N18" s="48">
        <f t="shared" si="12"/>
        <v>0</v>
      </c>
      <c r="O18" s="48">
        <f t="shared" si="12"/>
        <v>0</v>
      </c>
      <c r="P18" s="48">
        <f t="shared" si="12"/>
        <v>0</v>
      </c>
      <c r="Q18" s="48">
        <f t="shared" si="12"/>
        <v>0</v>
      </c>
      <c r="R18" s="48">
        <f t="shared" si="12"/>
        <v>0</v>
      </c>
      <c r="S18" s="48">
        <f t="shared" si="12"/>
        <v>0</v>
      </c>
      <c r="T18" s="48">
        <f t="shared" si="12"/>
        <v>0</v>
      </c>
      <c r="U18" s="48">
        <f t="shared" si="12"/>
        <v>0</v>
      </c>
      <c r="V18" s="48">
        <f t="shared" si="12"/>
        <v>0</v>
      </c>
      <c r="W18" s="48">
        <f t="shared" si="12"/>
        <v>0</v>
      </c>
      <c r="X18" s="48">
        <f t="shared" si="12"/>
        <v>0</v>
      </c>
      <c r="Y18" s="48">
        <f t="shared" si="2"/>
        <v>0</v>
      </c>
      <c r="Z18" s="48">
        <f t="shared" si="1"/>
        <v>0</v>
      </c>
      <c r="AA18" s="48">
        <f t="shared" si="1"/>
        <v>0</v>
      </c>
      <c r="AB18" s="48">
        <f t="shared" si="1"/>
        <v>0</v>
      </c>
      <c r="AC18" s="37"/>
    </row>
    <row r="19" spans="1:29" ht="16.5" thickTop="1" thickBot="1" x14ac:dyDescent="0.3">
      <c r="A19" s="43">
        <v>2</v>
      </c>
      <c r="B19" s="44" t="s">
        <v>129</v>
      </c>
      <c r="C19" s="44" t="s">
        <v>139</v>
      </c>
      <c r="D19" s="44" t="s">
        <v>134</v>
      </c>
      <c r="E19" s="44" t="s">
        <v>129</v>
      </c>
      <c r="F19" s="44" t="s">
        <v>129</v>
      </c>
      <c r="G19" s="44"/>
      <c r="H19" s="46" t="s">
        <v>223</v>
      </c>
      <c r="I19" s="47">
        <v>0</v>
      </c>
      <c r="J19" s="48"/>
      <c r="K19" s="48"/>
      <c r="L19" s="48"/>
      <c r="M19" s="48"/>
      <c r="N19" s="48"/>
      <c r="O19" s="48"/>
      <c r="P19" s="48"/>
      <c r="Q19" s="48"/>
      <c r="R19" s="48"/>
      <c r="S19" s="48"/>
      <c r="T19" s="48"/>
      <c r="U19" s="48"/>
      <c r="V19" s="48"/>
      <c r="W19" s="48"/>
      <c r="X19" s="48"/>
      <c r="Y19" s="48">
        <f t="shared" si="2"/>
        <v>0</v>
      </c>
      <c r="Z19" s="48">
        <f t="shared" si="1"/>
        <v>0</v>
      </c>
      <c r="AA19" s="48">
        <f t="shared" si="1"/>
        <v>0</v>
      </c>
      <c r="AB19" s="48">
        <f t="shared" si="1"/>
        <v>0</v>
      </c>
      <c r="AC19" s="37"/>
    </row>
    <row r="20" spans="1:29" ht="16.5" thickTop="1" thickBot="1" x14ac:dyDescent="0.3">
      <c r="A20" s="43">
        <v>2</v>
      </c>
      <c r="B20" s="44" t="s">
        <v>129</v>
      </c>
      <c r="C20" s="44" t="s">
        <v>139</v>
      </c>
      <c r="D20" s="44" t="s">
        <v>134</v>
      </c>
      <c r="E20" s="44" t="s">
        <v>129</v>
      </c>
      <c r="F20" s="44" t="s">
        <v>134</v>
      </c>
      <c r="G20" s="44"/>
      <c r="H20" s="46" t="s">
        <v>224</v>
      </c>
      <c r="I20" s="47">
        <v>0</v>
      </c>
      <c r="J20" s="48"/>
      <c r="K20" s="48"/>
      <c r="L20" s="48"/>
      <c r="M20" s="48"/>
      <c r="N20" s="48"/>
      <c r="O20" s="48"/>
      <c r="P20" s="48"/>
      <c r="Q20" s="48"/>
      <c r="R20" s="48"/>
      <c r="S20" s="48"/>
      <c r="T20" s="48"/>
      <c r="U20" s="48"/>
      <c r="V20" s="48"/>
      <c r="W20" s="48"/>
      <c r="X20" s="48"/>
      <c r="Y20" s="48">
        <f t="shared" si="2"/>
        <v>0</v>
      </c>
      <c r="Z20" s="48">
        <f t="shared" si="2"/>
        <v>0</v>
      </c>
      <c r="AA20" s="48">
        <f t="shared" si="2"/>
        <v>0</v>
      </c>
      <c r="AB20" s="48">
        <f t="shared" si="2"/>
        <v>0</v>
      </c>
      <c r="AC20" s="37"/>
    </row>
    <row r="21" spans="1:29" s="526" customFormat="1" ht="16.5" thickTop="1" thickBot="1" x14ac:dyDescent="0.3">
      <c r="A21" s="49">
        <v>2</v>
      </c>
      <c r="B21" s="50" t="s">
        <v>129</v>
      </c>
      <c r="C21" s="50" t="s">
        <v>139</v>
      </c>
      <c r="D21" s="50" t="s">
        <v>139</v>
      </c>
      <c r="E21" s="50"/>
      <c r="F21" s="50"/>
      <c r="G21" s="50"/>
      <c r="H21" s="51" t="s">
        <v>56</v>
      </c>
      <c r="I21" s="52">
        <f>+I22+I23</f>
        <v>0</v>
      </c>
      <c r="J21" s="53">
        <f t="shared" ref="J21:X21" si="13">+J22+J23</f>
        <v>0</v>
      </c>
      <c r="K21" s="53">
        <f t="shared" si="13"/>
        <v>0</v>
      </c>
      <c r="L21" s="53">
        <f t="shared" si="13"/>
        <v>0</v>
      </c>
      <c r="M21" s="53">
        <f t="shared" si="13"/>
        <v>0</v>
      </c>
      <c r="N21" s="53">
        <f t="shared" si="13"/>
        <v>0</v>
      </c>
      <c r="O21" s="53">
        <f t="shared" si="13"/>
        <v>0</v>
      </c>
      <c r="P21" s="53">
        <f t="shared" si="13"/>
        <v>0</v>
      </c>
      <c r="Q21" s="53">
        <f t="shared" si="13"/>
        <v>0</v>
      </c>
      <c r="R21" s="53">
        <f t="shared" si="13"/>
        <v>0</v>
      </c>
      <c r="S21" s="53">
        <f t="shared" si="13"/>
        <v>0</v>
      </c>
      <c r="T21" s="53">
        <f t="shared" si="13"/>
        <v>0</v>
      </c>
      <c r="U21" s="53">
        <f t="shared" si="13"/>
        <v>0</v>
      </c>
      <c r="V21" s="53">
        <f t="shared" si="13"/>
        <v>0</v>
      </c>
      <c r="W21" s="53">
        <f t="shared" si="13"/>
        <v>0</v>
      </c>
      <c r="X21" s="53">
        <f t="shared" si="13"/>
        <v>0</v>
      </c>
      <c r="Y21" s="53">
        <f t="shared" si="2"/>
        <v>0</v>
      </c>
      <c r="Z21" s="53">
        <f t="shared" si="2"/>
        <v>0</v>
      </c>
      <c r="AA21" s="53">
        <f t="shared" si="2"/>
        <v>0</v>
      </c>
      <c r="AB21" s="53">
        <f t="shared" si="2"/>
        <v>0</v>
      </c>
      <c r="AC21" s="37"/>
    </row>
    <row r="22" spans="1:29" ht="16.5" thickTop="1" thickBot="1" x14ac:dyDescent="0.3">
      <c r="A22" s="43">
        <v>2</v>
      </c>
      <c r="B22" s="44" t="s">
        <v>129</v>
      </c>
      <c r="C22" s="44" t="s">
        <v>139</v>
      </c>
      <c r="D22" s="44" t="s">
        <v>139</v>
      </c>
      <c r="E22" s="44" t="s">
        <v>129</v>
      </c>
      <c r="F22" s="44"/>
      <c r="G22" s="44"/>
      <c r="H22" s="46" t="s">
        <v>225</v>
      </c>
      <c r="I22" s="47"/>
      <c r="J22" s="48"/>
      <c r="K22" s="48"/>
      <c r="L22" s="48"/>
      <c r="M22" s="48"/>
      <c r="N22" s="48"/>
      <c r="O22" s="48"/>
      <c r="P22" s="48"/>
      <c r="Q22" s="48"/>
      <c r="R22" s="48"/>
      <c r="S22" s="48"/>
      <c r="T22" s="48"/>
      <c r="U22" s="48"/>
      <c r="V22" s="48"/>
      <c r="W22" s="48"/>
      <c r="X22" s="48"/>
      <c r="Y22" s="48">
        <f t="shared" si="2"/>
        <v>0</v>
      </c>
      <c r="Z22" s="48">
        <f t="shared" si="2"/>
        <v>0</v>
      </c>
      <c r="AA22" s="48">
        <f t="shared" si="2"/>
        <v>0</v>
      </c>
      <c r="AB22" s="48">
        <f t="shared" si="2"/>
        <v>0</v>
      </c>
      <c r="AC22" s="37"/>
    </row>
    <row r="23" spans="1:29" ht="16.5" thickTop="1" thickBot="1" x14ac:dyDescent="0.3">
      <c r="A23" s="43">
        <v>2</v>
      </c>
      <c r="B23" s="44" t="s">
        <v>129</v>
      </c>
      <c r="C23" s="44" t="s">
        <v>139</v>
      </c>
      <c r="D23" s="44" t="s">
        <v>139</v>
      </c>
      <c r="E23" s="44" t="s">
        <v>134</v>
      </c>
      <c r="F23" s="44"/>
      <c r="G23" s="44"/>
      <c r="H23" s="46" t="s">
        <v>226</v>
      </c>
      <c r="I23" s="47"/>
      <c r="J23" s="48"/>
      <c r="K23" s="48"/>
      <c r="L23" s="48"/>
      <c r="M23" s="48"/>
      <c r="N23" s="48"/>
      <c r="O23" s="48"/>
      <c r="P23" s="48"/>
      <c r="Q23" s="48"/>
      <c r="R23" s="48"/>
      <c r="S23" s="48"/>
      <c r="T23" s="48"/>
      <c r="U23" s="48"/>
      <c r="V23" s="48"/>
      <c r="W23" s="48"/>
      <c r="X23" s="48"/>
      <c r="Y23" s="48">
        <f t="shared" si="2"/>
        <v>0</v>
      </c>
      <c r="Z23" s="48">
        <f t="shared" si="2"/>
        <v>0</v>
      </c>
      <c r="AA23" s="48">
        <f t="shared" si="2"/>
        <v>0</v>
      </c>
      <c r="AB23" s="48">
        <f t="shared" si="2"/>
        <v>0</v>
      </c>
      <c r="AC23" s="37"/>
    </row>
    <row r="24" spans="1:29" ht="16.5" thickTop="1" thickBot="1" x14ac:dyDescent="0.3">
      <c r="A24" s="42">
        <v>2</v>
      </c>
      <c r="B24" s="38" t="s">
        <v>129</v>
      </c>
      <c r="C24" s="38" t="s">
        <v>140</v>
      </c>
      <c r="D24" s="38"/>
      <c r="E24" s="38"/>
      <c r="F24" s="38"/>
      <c r="G24" s="38"/>
      <c r="H24" s="39" t="s">
        <v>227</v>
      </c>
      <c r="I24" s="40">
        <f t="shared" ref="I24:X24" si="14">+I25+I29+I31+I33</f>
        <v>321085171</v>
      </c>
      <c r="J24" s="41">
        <f t="shared" si="14"/>
        <v>314217840</v>
      </c>
      <c r="K24" s="41">
        <f t="shared" si="14"/>
        <v>314217840</v>
      </c>
      <c r="L24" s="41">
        <f t="shared" si="14"/>
        <v>314217840</v>
      </c>
      <c r="M24" s="41">
        <f t="shared" si="14"/>
        <v>9888000</v>
      </c>
      <c r="N24" s="41">
        <f t="shared" si="14"/>
        <v>9888000</v>
      </c>
      <c r="O24" s="41">
        <f t="shared" si="14"/>
        <v>9888000</v>
      </c>
      <c r="P24" s="41">
        <f t="shared" si="14"/>
        <v>9888000</v>
      </c>
      <c r="Q24" s="41">
        <f t="shared" si="14"/>
        <v>0</v>
      </c>
      <c r="R24" s="41">
        <f t="shared" si="14"/>
        <v>0</v>
      </c>
      <c r="S24" s="41">
        <f t="shared" si="14"/>
        <v>0</v>
      </c>
      <c r="T24" s="41">
        <f t="shared" si="14"/>
        <v>0</v>
      </c>
      <c r="U24" s="41">
        <f t="shared" si="14"/>
        <v>0</v>
      </c>
      <c r="V24" s="41">
        <f t="shared" si="14"/>
        <v>0</v>
      </c>
      <c r="W24" s="41">
        <f t="shared" si="14"/>
        <v>0</v>
      </c>
      <c r="X24" s="41">
        <f t="shared" si="14"/>
        <v>0</v>
      </c>
      <c r="Y24" s="41">
        <f t="shared" si="2"/>
        <v>330973171</v>
      </c>
      <c r="Z24" s="41">
        <f t="shared" si="2"/>
        <v>324105840</v>
      </c>
      <c r="AA24" s="41">
        <f t="shared" si="2"/>
        <v>324105840</v>
      </c>
      <c r="AB24" s="41">
        <f t="shared" si="2"/>
        <v>324105840</v>
      </c>
      <c r="AC24" s="37"/>
    </row>
    <row r="25" spans="1:29" s="526" customFormat="1" ht="16.5" thickTop="1" thickBot="1" x14ac:dyDescent="0.3">
      <c r="A25" s="49">
        <v>2</v>
      </c>
      <c r="B25" s="50" t="s">
        <v>129</v>
      </c>
      <c r="C25" s="50" t="s">
        <v>140</v>
      </c>
      <c r="D25" s="50" t="s">
        <v>129</v>
      </c>
      <c r="E25" s="50"/>
      <c r="F25" s="50"/>
      <c r="G25" s="50"/>
      <c r="H25" s="51" t="s">
        <v>228</v>
      </c>
      <c r="I25" s="52">
        <f>+I26</f>
        <v>39844833</v>
      </c>
      <c r="J25" s="53">
        <f t="shared" ref="J25:X25" si="15">+J26</f>
        <v>32977502</v>
      </c>
      <c r="K25" s="53">
        <f t="shared" si="15"/>
        <v>32977502</v>
      </c>
      <c r="L25" s="53">
        <f t="shared" si="15"/>
        <v>32977502</v>
      </c>
      <c r="M25" s="53">
        <f t="shared" si="15"/>
        <v>0</v>
      </c>
      <c r="N25" s="53">
        <f t="shared" si="15"/>
        <v>0</v>
      </c>
      <c r="O25" s="53">
        <f t="shared" si="15"/>
        <v>0</v>
      </c>
      <c r="P25" s="53">
        <f t="shared" si="15"/>
        <v>0</v>
      </c>
      <c r="Q25" s="53">
        <f t="shared" si="15"/>
        <v>0</v>
      </c>
      <c r="R25" s="53">
        <f t="shared" si="15"/>
        <v>0</v>
      </c>
      <c r="S25" s="53">
        <f t="shared" si="15"/>
        <v>0</v>
      </c>
      <c r="T25" s="53">
        <f t="shared" si="15"/>
        <v>0</v>
      </c>
      <c r="U25" s="53">
        <f t="shared" si="15"/>
        <v>0</v>
      </c>
      <c r="V25" s="53">
        <f t="shared" si="15"/>
        <v>0</v>
      </c>
      <c r="W25" s="53">
        <f t="shared" si="15"/>
        <v>0</v>
      </c>
      <c r="X25" s="53">
        <f t="shared" si="15"/>
        <v>0</v>
      </c>
      <c r="Y25" s="53">
        <f t="shared" si="2"/>
        <v>39844833</v>
      </c>
      <c r="Z25" s="53">
        <f t="shared" si="2"/>
        <v>32977502</v>
      </c>
      <c r="AA25" s="53">
        <f t="shared" si="2"/>
        <v>32977502</v>
      </c>
      <c r="AB25" s="53">
        <f t="shared" si="2"/>
        <v>32977502</v>
      </c>
      <c r="AC25" s="37"/>
    </row>
    <row r="26" spans="1:29" ht="16.5" thickTop="1" thickBot="1" x14ac:dyDescent="0.3">
      <c r="A26" s="529">
        <v>2</v>
      </c>
      <c r="B26" s="45" t="s">
        <v>129</v>
      </c>
      <c r="C26" s="45" t="s">
        <v>140</v>
      </c>
      <c r="D26" s="45" t="s">
        <v>129</v>
      </c>
      <c r="E26" s="45" t="s">
        <v>129</v>
      </c>
      <c r="F26" s="45"/>
      <c r="G26" s="45"/>
      <c r="H26" s="530" t="s">
        <v>229</v>
      </c>
      <c r="I26" s="56">
        <f>+I27+I28</f>
        <v>39844833</v>
      </c>
      <c r="J26" s="57">
        <f t="shared" ref="J26:X26" si="16">+J27+J28</f>
        <v>32977502</v>
      </c>
      <c r="K26" s="57">
        <f t="shared" si="16"/>
        <v>32977502</v>
      </c>
      <c r="L26" s="57">
        <f t="shared" si="16"/>
        <v>32977502</v>
      </c>
      <c r="M26" s="57">
        <f t="shared" si="16"/>
        <v>0</v>
      </c>
      <c r="N26" s="57">
        <f t="shared" si="16"/>
        <v>0</v>
      </c>
      <c r="O26" s="57">
        <f t="shared" si="16"/>
        <v>0</v>
      </c>
      <c r="P26" s="57">
        <f t="shared" si="16"/>
        <v>0</v>
      </c>
      <c r="Q26" s="57">
        <f t="shared" si="16"/>
        <v>0</v>
      </c>
      <c r="R26" s="57">
        <f t="shared" si="16"/>
        <v>0</v>
      </c>
      <c r="S26" s="57">
        <f t="shared" si="16"/>
        <v>0</v>
      </c>
      <c r="T26" s="57">
        <f t="shared" si="16"/>
        <v>0</v>
      </c>
      <c r="U26" s="57">
        <f t="shared" si="16"/>
        <v>0</v>
      </c>
      <c r="V26" s="57">
        <f t="shared" si="16"/>
        <v>0</v>
      </c>
      <c r="W26" s="57">
        <f t="shared" si="16"/>
        <v>0</v>
      </c>
      <c r="X26" s="57">
        <f t="shared" si="16"/>
        <v>0</v>
      </c>
      <c r="Y26" s="57">
        <f t="shared" si="2"/>
        <v>39844833</v>
      </c>
      <c r="Z26" s="57">
        <f t="shared" si="2"/>
        <v>32977502</v>
      </c>
      <c r="AA26" s="57">
        <f t="shared" si="2"/>
        <v>32977502</v>
      </c>
      <c r="AB26" s="57">
        <f t="shared" si="2"/>
        <v>32977502</v>
      </c>
      <c r="AC26" s="37"/>
    </row>
    <row r="27" spans="1:29" s="528" customFormat="1" ht="16.5" thickTop="1" thickBot="1" x14ac:dyDescent="0.3">
      <c r="A27" s="43">
        <v>2</v>
      </c>
      <c r="B27" s="44" t="s">
        <v>129</v>
      </c>
      <c r="C27" s="44" t="s">
        <v>140</v>
      </c>
      <c r="D27" s="44" t="s">
        <v>129</v>
      </c>
      <c r="E27" s="44" t="s">
        <v>129</v>
      </c>
      <c r="F27" s="44" t="s">
        <v>129</v>
      </c>
      <c r="G27" s="44"/>
      <c r="H27" s="46" t="s">
        <v>230</v>
      </c>
      <c r="I27" s="54">
        <v>27248760</v>
      </c>
      <c r="J27" s="55">
        <v>26436794</v>
      </c>
      <c r="K27" s="55">
        <v>26436794</v>
      </c>
      <c r="L27" s="55">
        <v>26436794</v>
      </c>
      <c r="M27" s="55"/>
      <c r="N27" s="55"/>
      <c r="O27" s="55"/>
      <c r="P27" s="55"/>
      <c r="Q27" s="55"/>
      <c r="R27" s="55"/>
      <c r="S27" s="55"/>
      <c r="T27" s="55"/>
      <c r="U27" s="55"/>
      <c r="V27" s="55"/>
      <c r="W27" s="55"/>
      <c r="X27" s="55"/>
      <c r="Y27" s="55">
        <f t="shared" si="2"/>
        <v>27248760</v>
      </c>
      <c r="Z27" s="55">
        <f t="shared" si="2"/>
        <v>26436794</v>
      </c>
      <c r="AA27" s="55">
        <f t="shared" si="2"/>
        <v>26436794</v>
      </c>
      <c r="AB27" s="55">
        <f t="shared" si="2"/>
        <v>26436794</v>
      </c>
      <c r="AC27" s="37"/>
    </row>
    <row r="28" spans="1:29" s="528" customFormat="1" ht="16.5" thickTop="1" thickBot="1" x14ac:dyDescent="0.3">
      <c r="A28" s="43">
        <v>2</v>
      </c>
      <c r="B28" s="44" t="s">
        <v>129</v>
      </c>
      <c r="C28" s="44" t="s">
        <v>140</v>
      </c>
      <c r="D28" s="44" t="s">
        <v>129</v>
      </c>
      <c r="E28" s="44" t="s">
        <v>129</v>
      </c>
      <c r="F28" s="44" t="s">
        <v>134</v>
      </c>
      <c r="G28" s="44"/>
      <c r="H28" s="46" t="s">
        <v>231</v>
      </c>
      <c r="I28" s="54">
        <v>12596073</v>
      </c>
      <c r="J28" s="55">
        <v>6540708</v>
      </c>
      <c r="K28" s="55">
        <v>6540708</v>
      </c>
      <c r="L28" s="55">
        <v>6540708</v>
      </c>
      <c r="M28" s="55"/>
      <c r="N28" s="55"/>
      <c r="O28" s="55"/>
      <c r="P28" s="55"/>
      <c r="Q28" s="55"/>
      <c r="R28" s="55"/>
      <c r="S28" s="55"/>
      <c r="T28" s="55"/>
      <c r="U28" s="55"/>
      <c r="V28" s="55"/>
      <c r="W28" s="55"/>
      <c r="X28" s="55"/>
      <c r="Y28" s="55">
        <f t="shared" si="2"/>
        <v>12596073</v>
      </c>
      <c r="Z28" s="55">
        <f t="shared" si="2"/>
        <v>6540708</v>
      </c>
      <c r="AA28" s="55">
        <f t="shared" si="2"/>
        <v>6540708</v>
      </c>
      <c r="AB28" s="55">
        <f t="shared" si="2"/>
        <v>6540708</v>
      </c>
      <c r="AC28" s="37"/>
    </row>
    <row r="29" spans="1:29" s="526" customFormat="1" ht="16.5" thickTop="1" thickBot="1" x14ac:dyDescent="0.3">
      <c r="A29" s="49">
        <v>2</v>
      </c>
      <c r="B29" s="50" t="s">
        <v>129</v>
      </c>
      <c r="C29" s="50" t="s">
        <v>140</v>
      </c>
      <c r="D29" s="50" t="s">
        <v>134</v>
      </c>
      <c r="E29" s="50"/>
      <c r="F29" s="50"/>
      <c r="G29" s="50"/>
      <c r="H29" s="51" t="s">
        <v>232</v>
      </c>
      <c r="I29" s="52">
        <f>+I30</f>
        <v>0</v>
      </c>
      <c r="J29" s="53">
        <f t="shared" ref="J29:X29" si="17">+J30</f>
        <v>0</v>
      </c>
      <c r="K29" s="53">
        <f t="shared" si="17"/>
        <v>0</v>
      </c>
      <c r="L29" s="53">
        <f t="shared" si="17"/>
        <v>0</v>
      </c>
      <c r="M29" s="53">
        <f t="shared" si="17"/>
        <v>0</v>
      </c>
      <c r="N29" s="53">
        <f t="shared" si="17"/>
        <v>0</v>
      </c>
      <c r="O29" s="53">
        <f t="shared" si="17"/>
        <v>0</v>
      </c>
      <c r="P29" s="53">
        <f t="shared" si="17"/>
        <v>0</v>
      </c>
      <c r="Q29" s="53">
        <f t="shared" si="17"/>
        <v>0</v>
      </c>
      <c r="R29" s="53">
        <f t="shared" si="17"/>
        <v>0</v>
      </c>
      <c r="S29" s="53">
        <f t="shared" si="17"/>
        <v>0</v>
      </c>
      <c r="T29" s="53">
        <f t="shared" si="17"/>
        <v>0</v>
      </c>
      <c r="U29" s="53">
        <f t="shared" si="17"/>
        <v>0</v>
      </c>
      <c r="V29" s="53">
        <f t="shared" si="17"/>
        <v>0</v>
      </c>
      <c r="W29" s="53">
        <f t="shared" si="17"/>
        <v>0</v>
      </c>
      <c r="X29" s="53">
        <f t="shared" si="17"/>
        <v>0</v>
      </c>
      <c r="Y29" s="53">
        <f t="shared" si="2"/>
        <v>0</v>
      </c>
      <c r="Z29" s="53">
        <f t="shared" si="2"/>
        <v>0</v>
      </c>
      <c r="AA29" s="53">
        <f t="shared" si="2"/>
        <v>0</v>
      </c>
      <c r="AB29" s="53">
        <f t="shared" si="2"/>
        <v>0</v>
      </c>
      <c r="AC29" s="37"/>
    </row>
    <row r="30" spans="1:29" s="528" customFormat="1" ht="16.5" thickTop="1" thickBot="1" x14ac:dyDescent="0.3">
      <c r="A30" s="43">
        <v>2</v>
      </c>
      <c r="B30" s="44" t="s">
        <v>129</v>
      </c>
      <c r="C30" s="44" t="s">
        <v>140</v>
      </c>
      <c r="D30" s="44" t="s">
        <v>134</v>
      </c>
      <c r="E30" s="44" t="s">
        <v>129</v>
      </c>
      <c r="F30" s="44"/>
      <c r="G30" s="44"/>
      <c r="H30" s="46" t="s">
        <v>233</v>
      </c>
      <c r="I30" s="54"/>
      <c r="J30" s="55"/>
      <c r="K30" s="55"/>
      <c r="L30" s="55"/>
      <c r="M30" s="55"/>
      <c r="N30" s="55"/>
      <c r="O30" s="55"/>
      <c r="P30" s="55"/>
      <c r="Q30" s="55"/>
      <c r="R30" s="55"/>
      <c r="S30" s="55"/>
      <c r="T30" s="55"/>
      <c r="U30" s="55"/>
      <c r="V30" s="55"/>
      <c r="W30" s="55"/>
      <c r="X30" s="55"/>
      <c r="Y30" s="55">
        <f t="shared" si="2"/>
        <v>0</v>
      </c>
      <c r="Z30" s="55">
        <f t="shared" si="2"/>
        <v>0</v>
      </c>
      <c r="AA30" s="55">
        <f t="shared" si="2"/>
        <v>0</v>
      </c>
      <c r="AB30" s="55">
        <f t="shared" si="2"/>
        <v>0</v>
      </c>
      <c r="AC30" s="37"/>
    </row>
    <row r="31" spans="1:29" s="526" customFormat="1" ht="16.5" thickTop="1" thickBot="1" x14ac:dyDescent="0.3">
      <c r="A31" s="49">
        <v>2</v>
      </c>
      <c r="B31" s="50" t="s">
        <v>129</v>
      </c>
      <c r="C31" s="50" t="s">
        <v>140</v>
      </c>
      <c r="D31" s="50" t="s">
        <v>139</v>
      </c>
      <c r="E31" s="50"/>
      <c r="F31" s="50"/>
      <c r="G31" s="50"/>
      <c r="H31" s="51" t="s">
        <v>234</v>
      </c>
      <c r="I31" s="52">
        <f>+I32</f>
        <v>281240338</v>
      </c>
      <c r="J31" s="53">
        <f t="shared" ref="J31:X31" si="18">+J32</f>
        <v>281240338</v>
      </c>
      <c r="K31" s="53">
        <f t="shared" si="18"/>
        <v>281240338</v>
      </c>
      <c r="L31" s="53">
        <f t="shared" si="18"/>
        <v>281240338</v>
      </c>
      <c r="M31" s="53">
        <f t="shared" si="18"/>
        <v>9888000</v>
      </c>
      <c r="N31" s="53">
        <f t="shared" si="18"/>
        <v>9888000</v>
      </c>
      <c r="O31" s="53">
        <f t="shared" si="18"/>
        <v>9888000</v>
      </c>
      <c r="P31" s="53">
        <f t="shared" si="18"/>
        <v>9888000</v>
      </c>
      <c r="Q31" s="53">
        <f t="shared" si="18"/>
        <v>0</v>
      </c>
      <c r="R31" s="53">
        <f t="shared" si="18"/>
        <v>0</v>
      </c>
      <c r="S31" s="53">
        <f t="shared" si="18"/>
        <v>0</v>
      </c>
      <c r="T31" s="53">
        <f t="shared" si="18"/>
        <v>0</v>
      </c>
      <c r="U31" s="53">
        <f t="shared" si="18"/>
        <v>0</v>
      </c>
      <c r="V31" s="53">
        <f t="shared" si="18"/>
        <v>0</v>
      </c>
      <c r="W31" s="53">
        <f t="shared" si="18"/>
        <v>0</v>
      </c>
      <c r="X31" s="53">
        <f t="shared" si="18"/>
        <v>0</v>
      </c>
      <c r="Y31" s="53">
        <f t="shared" si="2"/>
        <v>291128338</v>
      </c>
      <c r="Z31" s="53">
        <f t="shared" si="2"/>
        <v>291128338</v>
      </c>
      <c r="AA31" s="53">
        <f t="shared" si="2"/>
        <v>291128338</v>
      </c>
      <c r="AB31" s="53">
        <f t="shared" si="2"/>
        <v>291128338</v>
      </c>
      <c r="AC31" s="37"/>
    </row>
    <row r="32" spans="1:29" s="528" customFormat="1" ht="16.5" thickTop="1" thickBot="1" x14ac:dyDescent="0.3">
      <c r="A32" s="43">
        <v>2</v>
      </c>
      <c r="B32" s="44" t="s">
        <v>129</v>
      </c>
      <c r="C32" s="44" t="s">
        <v>140</v>
      </c>
      <c r="D32" s="44" t="s">
        <v>139</v>
      </c>
      <c r="E32" s="44" t="s">
        <v>129</v>
      </c>
      <c r="F32" s="44"/>
      <c r="G32" s="44"/>
      <c r="H32" s="46" t="s">
        <v>235</v>
      </c>
      <c r="I32" s="47">
        <v>281240338</v>
      </c>
      <c r="J32" s="48">
        <v>281240338</v>
      </c>
      <c r="K32" s="48">
        <v>281240338</v>
      </c>
      <c r="L32" s="48">
        <v>281240338</v>
      </c>
      <c r="M32" s="48">
        <v>9888000</v>
      </c>
      <c r="N32" s="48">
        <v>9888000</v>
      </c>
      <c r="O32" s="48">
        <v>9888000</v>
      </c>
      <c r="P32" s="48">
        <v>9888000</v>
      </c>
      <c r="Q32" s="48"/>
      <c r="R32" s="48"/>
      <c r="S32" s="48"/>
      <c r="T32" s="48"/>
      <c r="U32" s="48"/>
      <c r="V32" s="48"/>
      <c r="W32" s="48"/>
      <c r="X32" s="48"/>
      <c r="Y32" s="48">
        <f t="shared" si="2"/>
        <v>291128338</v>
      </c>
      <c r="Z32" s="48">
        <f t="shared" si="2"/>
        <v>291128338</v>
      </c>
      <c r="AA32" s="48">
        <f t="shared" si="2"/>
        <v>291128338</v>
      </c>
      <c r="AB32" s="48">
        <f t="shared" si="2"/>
        <v>291128338</v>
      </c>
      <c r="AC32" s="37"/>
    </row>
    <row r="33" spans="1:29" ht="16.5" thickTop="1" thickBot="1" x14ac:dyDescent="0.3">
      <c r="A33" s="58">
        <v>2</v>
      </c>
      <c r="B33" s="59" t="s">
        <v>129</v>
      </c>
      <c r="C33" s="50" t="s">
        <v>140</v>
      </c>
      <c r="D33" s="50" t="s">
        <v>140</v>
      </c>
      <c r="E33" s="58"/>
      <c r="F33" s="58"/>
      <c r="G33" s="58"/>
      <c r="H33" s="51" t="s">
        <v>148</v>
      </c>
      <c r="I33" s="60">
        <f>+I34+I35+I36</f>
        <v>0</v>
      </c>
      <c r="J33" s="61">
        <f t="shared" ref="J33:X33" si="19">+J34+J35+J36</f>
        <v>0</v>
      </c>
      <c r="K33" s="61">
        <f t="shared" si="19"/>
        <v>0</v>
      </c>
      <c r="L33" s="61">
        <f t="shared" si="19"/>
        <v>0</v>
      </c>
      <c r="M33" s="61">
        <f t="shared" si="19"/>
        <v>0</v>
      </c>
      <c r="N33" s="61">
        <f t="shared" si="19"/>
        <v>0</v>
      </c>
      <c r="O33" s="61">
        <f t="shared" si="19"/>
        <v>0</v>
      </c>
      <c r="P33" s="61">
        <f t="shared" si="19"/>
        <v>0</v>
      </c>
      <c r="Q33" s="61">
        <f t="shared" si="19"/>
        <v>0</v>
      </c>
      <c r="R33" s="61">
        <f t="shared" si="19"/>
        <v>0</v>
      </c>
      <c r="S33" s="61">
        <f t="shared" si="19"/>
        <v>0</v>
      </c>
      <c r="T33" s="61">
        <f t="shared" si="19"/>
        <v>0</v>
      </c>
      <c r="U33" s="61">
        <f t="shared" si="19"/>
        <v>0</v>
      </c>
      <c r="V33" s="61">
        <f t="shared" si="19"/>
        <v>0</v>
      </c>
      <c r="W33" s="61">
        <f t="shared" si="19"/>
        <v>0</v>
      </c>
      <c r="X33" s="61">
        <f t="shared" si="19"/>
        <v>0</v>
      </c>
      <c r="Y33" s="61">
        <f t="shared" si="2"/>
        <v>0</v>
      </c>
      <c r="Z33" s="61">
        <f t="shared" si="2"/>
        <v>0</v>
      </c>
      <c r="AA33" s="61">
        <f t="shared" si="2"/>
        <v>0</v>
      </c>
      <c r="AB33" s="61">
        <f t="shared" si="2"/>
        <v>0</v>
      </c>
      <c r="AC33" s="37"/>
    </row>
    <row r="34" spans="1:29" s="528" customFormat="1" ht="16.5" thickTop="1" thickBot="1" x14ac:dyDescent="0.3">
      <c r="A34" s="43">
        <v>2</v>
      </c>
      <c r="B34" s="44" t="s">
        <v>129</v>
      </c>
      <c r="C34" s="44" t="s">
        <v>140</v>
      </c>
      <c r="D34" s="44" t="s">
        <v>140</v>
      </c>
      <c r="E34" s="44" t="s">
        <v>129</v>
      </c>
      <c r="F34" s="44"/>
      <c r="G34" s="44"/>
      <c r="H34" s="46" t="s">
        <v>236</v>
      </c>
      <c r="I34" s="47"/>
      <c r="J34" s="48"/>
      <c r="K34" s="48"/>
      <c r="L34" s="48"/>
      <c r="M34" s="48"/>
      <c r="N34" s="48"/>
      <c r="O34" s="48"/>
      <c r="P34" s="48"/>
      <c r="Q34" s="48"/>
      <c r="R34" s="48"/>
      <c r="S34" s="48"/>
      <c r="T34" s="48"/>
      <c r="U34" s="48"/>
      <c r="V34" s="48"/>
      <c r="W34" s="48"/>
      <c r="X34" s="48"/>
      <c r="Y34" s="48">
        <f t="shared" si="2"/>
        <v>0</v>
      </c>
      <c r="Z34" s="48">
        <f t="shared" si="2"/>
        <v>0</v>
      </c>
      <c r="AA34" s="48">
        <f t="shared" si="2"/>
        <v>0</v>
      </c>
      <c r="AB34" s="48">
        <f t="shared" si="2"/>
        <v>0</v>
      </c>
      <c r="AC34" s="37"/>
    </row>
    <row r="35" spans="1:29" s="528" customFormat="1" ht="16.5" thickTop="1" thickBot="1" x14ac:dyDescent="0.3">
      <c r="A35" s="43">
        <v>2</v>
      </c>
      <c r="B35" s="44" t="s">
        <v>129</v>
      </c>
      <c r="C35" s="44" t="s">
        <v>140</v>
      </c>
      <c r="D35" s="44" t="s">
        <v>140</v>
      </c>
      <c r="E35" s="44" t="s">
        <v>134</v>
      </c>
      <c r="F35" s="44"/>
      <c r="G35" s="44"/>
      <c r="H35" s="46" t="s">
        <v>237</v>
      </c>
      <c r="I35" s="47"/>
      <c r="J35" s="48"/>
      <c r="K35" s="48"/>
      <c r="L35" s="48"/>
      <c r="M35" s="48"/>
      <c r="N35" s="48"/>
      <c r="O35" s="48"/>
      <c r="P35" s="48"/>
      <c r="Q35" s="48"/>
      <c r="R35" s="48"/>
      <c r="S35" s="48"/>
      <c r="T35" s="48"/>
      <c r="U35" s="48"/>
      <c r="V35" s="48"/>
      <c r="W35" s="48"/>
      <c r="X35" s="48"/>
      <c r="Y35" s="48">
        <f t="shared" si="2"/>
        <v>0</v>
      </c>
      <c r="Z35" s="48">
        <f t="shared" si="2"/>
        <v>0</v>
      </c>
      <c r="AA35" s="48">
        <f t="shared" si="2"/>
        <v>0</v>
      </c>
      <c r="AB35" s="48">
        <f t="shared" si="2"/>
        <v>0</v>
      </c>
      <c r="AC35" s="37"/>
    </row>
    <row r="36" spans="1:29" s="528" customFormat="1" ht="16.5" thickTop="1" thickBot="1" x14ac:dyDescent="0.3">
      <c r="A36" s="43">
        <v>2</v>
      </c>
      <c r="B36" s="44" t="s">
        <v>129</v>
      </c>
      <c r="C36" s="44" t="s">
        <v>140</v>
      </c>
      <c r="D36" s="44" t="s">
        <v>140</v>
      </c>
      <c r="E36" s="44" t="s">
        <v>139</v>
      </c>
      <c r="F36" s="44"/>
      <c r="G36" s="44"/>
      <c r="H36" s="46" t="s">
        <v>150</v>
      </c>
      <c r="I36" s="47"/>
      <c r="J36" s="48"/>
      <c r="K36" s="48"/>
      <c r="L36" s="48"/>
      <c r="M36" s="48"/>
      <c r="N36" s="48"/>
      <c r="O36" s="48"/>
      <c r="P36" s="48"/>
      <c r="Q36" s="48"/>
      <c r="R36" s="48"/>
      <c r="S36" s="48"/>
      <c r="T36" s="48"/>
      <c r="U36" s="48"/>
      <c r="V36" s="48"/>
      <c r="W36" s="48"/>
      <c r="X36" s="48"/>
      <c r="Y36" s="48">
        <f t="shared" si="2"/>
        <v>0</v>
      </c>
      <c r="Z36" s="48">
        <f t="shared" si="2"/>
        <v>0</v>
      </c>
      <c r="AA36" s="48">
        <f t="shared" si="2"/>
        <v>0</v>
      </c>
      <c r="AB36" s="48">
        <f t="shared" si="2"/>
        <v>0</v>
      </c>
      <c r="AC36" s="37"/>
    </row>
    <row r="37" spans="1:29" ht="16.5" thickTop="1" thickBot="1" x14ac:dyDescent="0.3">
      <c r="A37" s="42">
        <v>2</v>
      </c>
      <c r="B37" s="38" t="s">
        <v>134</v>
      </c>
      <c r="C37" s="38"/>
      <c r="D37" s="38"/>
      <c r="E37" s="38"/>
      <c r="F37" s="38"/>
      <c r="G37" s="38"/>
      <c r="H37" s="39" t="s">
        <v>238</v>
      </c>
      <c r="I37" s="1159">
        <f>+I38+I42</f>
        <v>8144514402</v>
      </c>
      <c r="J37" s="62">
        <f t="shared" ref="J37:X37" si="20">+J38+J42</f>
        <v>8144514402</v>
      </c>
      <c r="K37" s="62">
        <f t="shared" si="20"/>
        <v>8136449097</v>
      </c>
      <c r="L37" s="62">
        <f t="shared" si="20"/>
        <v>7520514402</v>
      </c>
      <c r="M37" s="62">
        <f t="shared" si="20"/>
        <v>0</v>
      </c>
      <c r="N37" s="62">
        <f t="shared" si="20"/>
        <v>0</v>
      </c>
      <c r="O37" s="62">
        <f t="shared" si="20"/>
        <v>0</v>
      </c>
      <c r="P37" s="62">
        <f t="shared" si="20"/>
        <v>0</v>
      </c>
      <c r="Q37" s="62">
        <f t="shared" si="20"/>
        <v>0</v>
      </c>
      <c r="R37" s="62">
        <f t="shared" si="20"/>
        <v>0</v>
      </c>
      <c r="S37" s="62">
        <f t="shared" si="20"/>
        <v>0</v>
      </c>
      <c r="T37" s="62">
        <f t="shared" si="20"/>
        <v>0</v>
      </c>
      <c r="U37" s="62">
        <f t="shared" si="20"/>
        <v>0</v>
      </c>
      <c r="V37" s="62">
        <f t="shared" si="20"/>
        <v>0</v>
      </c>
      <c r="W37" s="62">
        <f t="shared" si="20"/>
        <v>0</v>
      </c>
      <c r="X37" s="62">
        <f t="shared" si="20"/>
        <v>0</v>
      </c>
      <c r="Y37" s="62">
        <f t="shared" si="2"/>
        <v>8144514402</v>
      </c>
      <c r="Z37" s="62">
        <f t="shared" si="2"/>
        <v>8144514402</v>
      </c>
      <c r="AA37" s="62">
        <f t="shared" si="2"/>
        <v>8136449097</v>
      </c>
      <c r="AB37" s="62">
        <f t="shared" si="2"/>
        <v>7520514402</v>
      </c>
      <c r="AC37" s="37"/>
    </row>
    <row r="38" spans="1:29" ht="16.5" thickTop="1" thickBot="1" x14ac:dyDescent="0.3">
      <c r="A38" s="58">
        <v>2</v>
      </c>
      <c r="B38" s="59" t="s">
        <v>134</v>
      </c>
      <c r="C38" s="50" t="s">
        <v>129</v>
      </c>
      <c r="D38" s="49"/>
      <c r="E38" s="50"/>
      <c r="F38" s="50"/>
      <c r="G38" s="50"/>
      <c r="H38" s="51" t="s">
        <v>239</v>
      </c>
      <c r="I38" s="63">
        <f>+I39+I40+I41</f>
        <v>0</v>
      </c>
      <c r="J38" s="64">
        <f t="shared" ref="J38:X38" si="21">+J39+J40+J41</f>
        <v>0</v>
      </c>
      <c r="K38" s="64">
        <f t="shared" si="21"/>
        <v>0</v>
      </c>
      <c r="L38" s="64">
        <f t="shared" si="21"/>
        <v>0</v>
      </c>
      <c r="M38" s="64">
        <f t="shared" si="21"/>
        <v>0</v>
      </c>
      <c r="N38" s="64">
        <f t="shared" si="21"/>
        <v>0</v>
      </c>
      <c r="O38" s="64">
        <f t="shared" si="21"/>
        <v>0</v>
      </c>
      <c r="P38" s="64">
        <f t="shared" si="21"/>
        <v>0</v>
      </c>
      <c r="Q38" s="64">
        <f t="shared" si="21"/>
        <v>0</v>
      </c>
      <c r="R38" s="64">
        <f t="shared" si="21"/>
        <v>0</v>
      </c>
      <c r="S38" s="64">
        <f t="shared" si="21"/>
        <v>0</v>
      </c>
      <c r="T38" s="64">
        <f t="shared" si="21"/>
        <v>0</v>
      </c>
      <c r="U38" s="64">
        <f t="shared" si="21"/>
        <v>0</v>
      </c>
      <c r="V38" s="64">
        <f t="shared" si="21"/>
        <v>0</v>
      </c>
      <c r="W38" s="64">
        <f t="shared" si="21"/>
        <v>0</v>
      </c>
      <c r="X38" s="64">
        <f t="shared" si="21"/>
        <v>0</v>
      </c>
      <c r="Y38" s="64">
        <f t="shared" si="2"/>
        <v>0</v>
      </c>
      <c r="Z38" s="64">
        <f t="shared" si="2"/>
        <v>0</v>
      </c>
      <c r="AA38" s="64">
        <f t="shared" si="2"/>
        <v>0</v>
      </c>
      <c r="AB38" s="64">
        <f t="shared" si="2"/>
        <v>0</v>
      </c>
      <c r="AC38" s="37"/>
    </row>
    <row r="39" spans="1:29" ht="16.5" thickTop="1" thickBot="1" x14ac:dyDescent="0.3">
      <c r="A39" s="43">
        <v>2</v>
      </c>
      <c r="B39" s="44" t="s">
        <v>134</v>
      </c>
      <c r="C39" s="44" t="s">
        <v>129</v>
      </c>
      <c r="D39" s="45" t="s">
        <v>129</v>
      </c>
      <c r="E39" s="43"/>
      <c r="F39" s="43"/>
      <c r="G39" s="43"/>
      <c r="H39" s="46" t="s">
        <v>239</v>
      </c>
      <c r="I39" s="65"/>
      <c r="J39" s="66"/>
      <c r="K39" s="66"/>
      <c r="L39" s="66"/>
      <c r="M39" s="66"/>
      <c r="N39" s="66"/>
      <c r="O39" s="66"/>
      <c r="P39" s="66"/>
      <c r="Q39" s="66"/>
      <c r="R39" s="66"/>
      <c r="S39" s="66"/>
      <c r="T39" s="66"/>
      <c r="U39" s="66"/>
      <c r="V39" s="66"/>
      <c r="W39" s="66"/>
      <c r="X39" s="66"/>
      <c r="Y39" s="66">
        <f t="shared" si="2"/>
        <v>0</v>
      </c>
      <c r="Z39" s="66">
        <f t="shared" si="2"/>
        <v>0</v>
      </c>
      <c r="AA39" s="66">
        <f t="shared" si="2"/>
        <v>0</v>
      </c>
      <c r="AB39" s="66">
        <f t="shared" si="2"/>
        <v>0</v>
      </c>
      <c r="AC39" s="37"/>
    </row>
    <row r="40" spans="1:29" ht="16.5" thickTop="1" thickBot="1" x14ac:dyDescent="0.3">
      <c r="A40" s="43">
        <v>2</v>
      </c>
      <c r="B40" s="44" t="s">
        <v>134</v>
      </c>
      <c r="C40" s="44" t="s">
        <v>129</v>
      </c>
      <c r="D40" s="45" t="s">
        <v>134</v>
      </c>
      <c r="E40" s="43"/>
      <c r="F40" s="43"/>
      <c r="G40" s="43"/>
      <c r="H40" s="46" t="s">
        <v>240</v>
      </c>
      <c r="I40" s="65"/>
      <c r="J40" s="66"/>
      <c r="K40" s="66"/>
      <c r="L40" s="66"/>
      <c r="M40" s="66"/>
      <c r="N40" s="66"/>
      <c r="O40" s="66"/>
      <c r="P40" s="66"/>
      <c r="Q40" s="66"/>
      <c r="R40" s="66"/>
      <c r="S40" s="66"/>
      <c r="T40" s="66"/>
      <c r="U40" s="66"/>
      <c r="V40" s="66"/>
      <c r="W40" s="66"/>
      <c r="X40" s="66"/>
      <c r="Y40" s="66">
        <f t="shared" si="2"/>
        <v>0</v>
      </c>
      <c r="Z40" s="66">
        <f t="shared" si="2"/>
        <v>0</v>
      </c>
      <c r="AA40" s="66">
        <f t="shared" si="2"/>
        <v>0</v>
      </c>
      <c r="AB40" s="66">
        <f t="shared" si="2"/>
        <v>0</v>
      </c>
      <c r="AC40" s="37"/>
    </row>
    <row r="41" spans="1:29" ht="16.5" thickTop="1" thickBot="1" x14ac:dyDescent="0.3">
      <c r="A41" s="43">
        <v>2</v>
      </c>
      <c r="B41" s="44" t="s">
        <v>134</v>
      </c>
      <c r="C41" s="44" t="s">
        <v>129</v>
      </c>
      <c r="D41" s="45" t="s">
        <v>139</v>
      </c>
      <c r="E41" s="43"/>
      <c r="F41" s="43"/>
      <c r="G41" s="43"/>
      <c r="H41" s="46" t="s">
        <v>225</v>
      </c>
      <c r="I41" s="65"/>
      <c r="J41" s="66"/>
      <c r="K41" s="66"/>
      <c r="L41" s="66"/>
      <c r="M41" s="66"/>
      <c r="N41" s="66"/>
      <c r="O41" s="66"/>
      <c r="P41" s="66"/>
      <c r="Q41" s="66"/>
      <c r="R41" s="66"/>
      <c r="S41" s="66"/>
      <c r="T41" s="66"/>
      <c r="U41" s="66"/>
      <c r="V41" s="66"/>
      <c r="W41" s="66"/>
      <c r="X41" s="66"/>
      <c r="Y41" s="66">
        <f t="shared" si="2"/>
        <v>0</v>
      </c>
      <c r="Z41" s="66">
        <f t="shared" si="2"/>
        <v>0</v>
      </c>
      <c r="AA41" s="66">
        <f t="shared" si="2"/>
        <v>0</v>
      </c>
      <c r="AB41" s="66">
        <f t="shared" si="2"/>
        <v>0</v>
      </c>
      <c r="AC41" s="37"/>
    </row>
    <row r="42" spans="1:29" ht="16.5" thickTop="1" thickBot="1" x14ac:dyDescent="0.3">
      <c r="A42" s="58">
        <v>2</v>
      </c>
      <c r="B42" s="59" t="s">
        <v>134</v>
      </c>
      <c r="C42" s="50" t="s">
        <v>134</v>
      </c>
      <c r="D42" s="49"/>
      <c r="E42" s="50"/>
      <c r="F42" s="50"/>
      <c r="G42" s="50"/>
      <c r="H42" s="51" t="s">
        <v>241</v>
      </c>
      <c r="I42" s="63">
        <f>+I43+I44+I45+I46</f>
        <v>8144514402</v>
      </c>
      <c r="J42" s="64">
        <f t="shared" ref="J42:X42" si="22">+J43+J44+J45+J46</f>
        <v>8144514402</v>
      </c>
      <c r="K42" s="64">
        <f t="shared" si="22"/>
        <v>8136449097</v>
      </c>
      <c r="L42" s="64">
        <f t="shared" si="22"/>
        <v>7520514402</v>
      </c>
      <c r="M42" s="64">
        <f t="shared" si="22"/>
        <v>0</v>
      </c>
      <c r="N42" s="64">
        <f t="shared" si="22"/>
        <v>0</v>
      </c>
      <c r="O42" s="64">
        <f t="shared" si="22"/>
        <v>0</v>
      </c>
      <c r="P42" s="64">
        <f t="shared" si="22"/>
        <v>0</v>
      </c>
      <c r="Q42" s="64">
        <f t="shared" si="22"/>
        <v>0</v>
      </c>
      <c r="R42" s="64">
        <f t="shared" si="22"/>
        <v>0</v>
      </c>
      <c r="S42" s="64">
        <f t="shared" si="22"/>
        <v>0</v>
      </c>
      <c r="T42" s="64">
        <f t="shared" si="22"/>
        <v>0</v>
      </c>
      <c r="U42" s="64">
        <f t="shared" si="22"/>
        <v>0</v>
      </c>
      <c r="V42" s="64">
        <f t="shared" si="22"/>
        <v>0</v>
      </c>
      <c r="W42" s="64">
        <f t="shared" si="22"/>
        <v>0</v>
      </c>
      <c r="X42" s="64">
        <f t="shared" si="22"/>
        <v>0</v>
      </c>
      <c r="Y42" s="64">
        <f t="shared" si="2"/>
        <v>8144514402</v>
      </c>
      <c r="Z42" s="64">
        <f t="shared" si="2"/>
        <v>8144514402</v>
      </c>
      <c r="AA42" s="64">
        <f t="shared" si="2"/>
        <v>8136449097</v>
      </c>
      <c r="AB42" s="64">
        <f t="shared" si="2"/>
        <v>7520514402</v>
      </c>
      <c r="AC42" s="37"/>
    </row>
    <row r="43" spans="1:29" ht="16.5" thickTop="1" thickBot="1" x14ac:dyDescent="0.3">
      <c r="A43" s="43">
        <v>2</v>
      </c>
      <c r="B43" s="44" t="s">
        <v>134</v>
      </c>
      <c r="C43" s="44" t="s">
        <v>134</v>
      </c>
      <c r="D43" s="44" t="s">
        <v>129</v>
      </c>
      <c r="E43" s="43"/>
      <c r="F43" s="43"/>
      <c r="G43" s="43"/>
      <c r="H43" s="46" t="s">
        <v>241</v>
      </c>
      <c r="I43" s="47">
        <v>5537589999</v>
      </c>
      <c r="J43" s="48">
        <v>5537589999</v>
      </c>
      <c r="K43" s="48">
        <v>5537589999</v>
      </c>
      <c r="L43" s="48">
        <v>5537589999</v>
      </c>
      <c r="M43" s="48"/>
      <c r="N43" s="48"/>
      <c r="O43" s="48"/>
      <c r="P43" s="48"/>
      <c r="Q43" s="48"/>
      <c r="R43" s="48"/>
      <c r="S43" s="48"/>
      <c r="T43" s="48"/>
      <c r="U43" s="48"/>
      <c r="V43" s="48"/>
      <c r="W43" s="48"/>
      <c r="X43" s="48"/>
      <c r="Y43" s="48">
        <f t="shared" si="2"/>
        <v>5537589999</v>
      </c>
      <c r="Z43" s="48">
        <f t="shared" si="2"/>
        <v>5537589999</v>
      </c>
      <c r="AA43" s="48">
        <f t="shared" si="2"/>
        <v>5537589999</v>
      </c>
      <c r="AB43" s="48">
        <f t="shared" si="2"/>
        <v>5537589999</v>
      </c>
      <c r="AC43" s="37"/>
    </row>
    <row r="44" spans="1:29" ht="16.5" thickTop="1" thickBot="1" x14ac:dyDescent="0.3">
      <c r="A44" s="43">
        <v>2</v>
      </c>
      <c r="B44" s="44" t="s">
        <v>134</v>
      </c>
      <c r="C44" s="44" t="s">
        <v>134</v>
      </c>
      <c r="D44" s="44" t="s">
        <v>134</v>
      </c>
      <c r="E44" s="43"/>
      <c r="F44" s="43"/>
      <c r="G44" s="43"/>
      <c r="H44" s="46" t="s">
        <v>242</v>
      </c>
      <c r="I44" s="47">
        <v>2606924403</v>
      </c>
      <c r="J44" s="48">
        <v>2606924403</v>
      </c>
      <c r="K44" s="48">
        <v>2598859098</v>
      </c>
      <c r="L44" s="48">
        <v>1982924403</v>
      </c>
      <c r="M44" s="48"/>
      <c r="N44" s="48"/>
      <c r="O44" s="48"/>
      <c r="P44" s="48"/>
      <c r="Q44" s="48"/>
      <c r="R44" s="48"/>
      <c r="S44" s="48"/>
      <c r="T44" s="48"/>
      <c r="U44" s="48"/>
      <c r="V44" s="48"/>
      <c r="W44" s="48"/>
      <c r="X44" s="48"/>
      <c r="Y44" s="48">
        <f t="shared" si="2"/>
        <v>2606924403</v>
      </c>
      <c r="Z44" s="48">
        <f t="shared" si="2"/>
        <v>2606924403</v>
      </c>
      <c r="AA44" s="48">
        <f t="shared" si="2"/>
        <v>2598859098</v>
      </c>
      <c r="AB44" s="48">
        <f t="shared" si="2"/>
        <v>1982924403</v>
      </c>
      <c r="AC44" s="37"/>
    </row>
    <row r="45" spans="1:29" ht="16.5" thickTop="1" thickBot="1" x14ac:dyDescent="0.3">
      <c r="A45" s="43">
        <v>2</v>
      </c>
      <c r="B45" s="44" t="s">
        <v>134</v>
      </c>
      <c r="C45" s="44" t="s">
        <v>134</v>
      </c>
      <c r="D45" s="44" t="s">
        <v>139</v>
      </c>
      <c r="E45" s="43"/>
      <c r="F45" s="43"/>
      <c r="G45" s="43"/>
      <c r="H45" s="46" t="s">
        <v>225</v>
      </c>
      <c r="I45" s="47"/>
      <c r="J45" s="48"/>
      <c r="K45" s="48"/>
      <c r="L45" s="48"/>
      <c r="M45" s="48"/>
      <c r="N45" s="48"/>
      <c r="O45" s="48"/>
      <c r="P45" s="48"/>
      <c r="Q45" s="48"/>
      <c r="R45" s="48"/>
      <c r="S45" s="48"/>
      <c r="T45" s="48"/>
      <c r="U45" s="48"/>
      <c r="V45" s="48"/>
      <c r="W45" s="48"/>
      <c r="X45" s="48"/>
      <c r="Y45" s="48">
        <f t="shared" si="2"/>
        <v>0</v>
      </c>
      <c r="Z45" s="48">
        <f t="shared" si="2"/>
        <v>0</v>
      </c>
      <c r="AA45" s="48">
        <f t="shared" si="2"/>
        <v>0</v>
      </c>
      <c r="AB45" s="48">
        <f t="shared" si="2"/>
        <v>0</v>
      </c>
      <c r="AC45" s="37"/>
    </row>
    <row r="46" spans="1:29" ht="16.5" thickTop="1" thickBot="1" x14ac:dyDescent="0.3">
      <c r="A46" s="43">
        <v>2</v>
      </c>
      <c r="B46" s="44" t="s">
        <v>134</v>
      </c>
      <c r="C46" s="44" t="s">
        <v>134</v>
      </c>
      <c r="D46" s="44" t="s">
        <v>140</v>
      </c>
      <c r="E46" s="43"/>
      <c r="F46" s="43"/>
      <c r="G46" s="43"/>
      <c r="H46" s="46" t="s">
        <v>243</v>
      </c>
      <c r="I46" s="54"/>
      <c r="J46" s="55"/>
      <c r="K46" s="55"/>
      <c r="L46" s="55"/>
      <c r="M46" s="55"/>
      <c r="N46" s="55"/>
      <c r="O46" s="55"/>
      <c r="P46" s="55"/>
      <c r="Q46" s="55"/>
      <c r="R46" s="55"/>
      <c r="S46" s="55"/>
      <c r="T46" s="55"/>
      <c r="U46" s="55"/>
      <c r="V46" s="55"/>
      <c r="W46" s="55"/>
      <c r="X46" s="55"/>
      <c r="Y46" s="55">
        <f t="shared" si="2"/>
        <v>0</v>
      </c>
      <c r="Z46" s="55">
        <f t="shared" si="2"/>
        <v>0</v>
      </c>
      <c r="AA46" s="55">
        <f t="shared" si="2"/>
        <v>0</v>
      </c>
      <c r="AB46" s="55">
        <f t="shared" si="2"/>
        <v>0</v>
      </c>
      <c r="AC46" s="37"/>
    </row>
    <row r="47" spans="1:29" ht="16.5" thickTop="1" thickBot="1" x14ac:dyDescent="0.3">
      <c r="A47" s="33">
        <v>2</v>
      </c>
      <c r="B47" s="33" t="s">
        <v>139</v>
      </c>
      <c r="C47" s="33"/>
      <c r="D47" s="33"/>
      <c r="E47" s="33"/>
      <c r="F47" s="33"/>
      <c r="G47" s="33"/>
      <c r="H47" s="34" t="s">
        <v>1055</v>
      </c>
      <c r="I47" s="35">
        <f>+I48+I61+I74+I91+I120+I161</f>
        <v>127060888332</v>
      </c>
      <c r="J47" s="35">
        <f t="shared" ref="J47:AB47" si="23">+J48+J61+J74+J91+J120+J161</f>
        <v>95329855301.670013</v>
      </c>
      <c r="K47" s="35">
        <f t="shared" si="23"/>
        <v>78914531319.630005</v>
      </c>
      <c r="L47" s="35">
        <f t="shared" si="23"/>
        <v>77964885674.630005</v>
      </c>
      <c r="M47" s="35">
        <f t="shared" si="23"/>
        <v>0</v>
      </c>
      <c r="N47" s="35">
        <f t="shared" si="23"/>
        <v>0</v>
      </c>
      <c r="O47" s="35">
        <f t="shared" si="23"/>
        <v>0</v>
      </c>
      <c r="P47" s="35">
        <f t="shared" si="23"/>
        <v>0</v>
      </c>
      <c r="Q47" s="35">
        <f t="shared" si="23"/>
        <v>0</v>
      </c>
      <c r="R47" s="35">
        <f t="shared" si="23"/>
        <v>0</v>
      </c>
      <c r="S47" s="35">
        <f t="shared" si="23"/>
        <v>0</v>
      </c>
      <c r="T47" s="35">
        <f t="shared" si="23"/>
        <v>0</v>
      </c>
      <c r="U47" s="35">
        <f t="shared" si="23"/>
        <v>0</v>
      </c>
      <c r="V47" s="35">
        <f t="shared" si="23"/>
        <v>0</v>
      </c>
      <c r="W47" s="35">
        <f t="shared" si="23"/>
        <v>0</v>
      </c>
      <c r="X47" s="35">
        <f t="shared" si="23"/>
        <v>0</v>
      </c>
      <c r="Y47" s="35">
        <f t="shared" si="23"/>
        <v>126745888332</v>
      </c>
      <c r="Z47" s="35">
        <f t="shared" si="23"/>
        <v>95329855301.670013</v>
      </c>
      <c r="AA47" s="35">
        <f t="shared" si="23"/>
        <v>78914531319.630005</v>
      </c>
      <c r="AB47" s="35">
        <f t="shared" si="23"/>
        <v>77964885674.630005</v>
      </c>
      <c r="AC47" s="37"/>
    </row>
    <row r="48" spans="1:29" ht="16.5" thickTop="1" thickBot="1" x14ac:dyDescent="0.3">
      <c r="A48" s="67">
        <v>2</v>
      </c>
      <c r="B48" s="38" t="s">
        <v>139</v>
      </c>
      <c r="C48" s="38" t="s">
        <v>180</v>
      </c>
      <c r="D48" s="38"/>
      <c r="E48" s="67"/>
      <c r="F48" s="67"/>
      <c r="G48" s="67"/>
      <c r="H48" s="68" t="s">
        <v>1056</v>
      </c>
      <c r="I48" s="531">
        <f>+I49+I53+I57</f>
        <v>98019981775</v>
      </c>
      <c r="J48" s="531">
        <f t="shared" ref="J48:AB48" si="24">+J49+J53+J57</f>
        <v>68722723175.070007</v>
      </c>
      <c r="K48" s="531">
        <f t="shared" si="24"/>
        <v>57085007305.610001</v>
      </c>
      <c r="L48" s="531">
        <f t="shared" si="24"/>
        <v>56979263477.610001</v>
      </c>
      <c r="M48" s="531">
        <f t="shared" si="24"/>
        <v>0</v>
      </c>
      <c r="N48" s="531">
        <f t="shared" si="24"/>
        <v>0</v>
      </c>
      <c r="O48" s="531">
        <f t="shared" si="24"/>
        <v>0</v>
      </c>
      <c r="P48" s="531">
        <f t="shared" si="24"/>
        <v>0</v>
      </c>
      <c r="Q48" s="531">
        <f t="shared" si="24"/>
        <v>0</v>
      </c>
      <c r="R48" s="531">
        <f t="shared" si="24"/>
        <v>0</v>
      </c>
      <c r="S48" s="531">
        <f t="shared" si="24"/>
        <v>0</v>
      </c>
      <c r="T48" s="531">
        <f t="shared" si="24"/>
        <v>0</v>
      </c>
      <c r="U48" s="531">
        <f t="shared" si="24"/>
        <v>0</v>
      </c>
      <c r="V48" s="531">
        <f t="shared" si="24"/>
        <v>0</v>
      </c>
      <c r="W48" s="531">
        <f t="shared" si="24"/>
        <v>0</v>
      </c>
      <c r="X48" s="531">
        <f t="shared" si="24"/>
        <v>0</v>
      </c>
      <c r="Y48" s="531">
        <f t="shared" si="24"/>
        <v>98019981775</v>
      </c>
      <c r="Z48" s="531">
        <f t="shared" si="24"/>
        <v>68722723175.070007</v>
      </c>
      <c r="AA48" s="531">
        <f t="shared" si="24"/>
        <v>57085007305.610001</v>
      </c>
      <c r="AB48" s="531">
        <f t="shared" si="24"/>
        <v>56979263477.610001</v>
      </c>
      <c r="AC48" s="37"/>
    </row>
    <row r="49" spans="1:29" ht="16.5" thickTop="1" thickBot="1" x14ac:dyDescent="0.3">
      <c r="A49" s="58">
        <v>2</v>
      </c>
      <c r="B49" s="58" t="s">
        <v>139</v>
      </c>
      <c r="C49" s="58" t="s">
        <v>180</v>
      </c>
      <c r="D49" s="58" t="s">
        <v>129</v>
      </c>
      <c r="E49" s="58"/>
      <c r="F49" s="58"/>
      <c r="G49" s="58"/>
      <c r="H49" s="69" t="s">
        <v>1057</v>
      </c>
      <c r="I49" s="532">
        <f>+I50</f>
        <v>44123822062</v>
      </c>
      <c r="J49" s="532">
        <f t="shared" ref="J49:AB51" si="25">+J50</f>
        <v>16991407463.370001</v>
      </c>
      <c r="K49" s="532">
        <f t="shared" si="25"/>
        <v>15592621123.110001</v>
      </c>
      <c r="L49" s="532">
        <f t="shared" si="25"/>
        <v>15588537798.110001</v>
      </c>
      <c r="M49" s="532">
        <f t="shared" si="25"/>
        <v>0</v>
      </c>
      <c r="N49" s="532">
        <f t="shared" si="25"/>
        <v>0</v>
      </c>
      <c r="O49" s="532">
        <f t="shared" si="25"/>
        <v>0</v>
      </c>
      <c r="P49" s="532">
        <f t="shared" si="25"/>
        <v>0</v>
      </c>
      <c r="Q49" s="532">
        <f t="shared" si="25"/>
        <v>0</v>
      </c>
      <c r="R49" s="532">
        <f t="shared" si="25"/>
        <v>0</v>
      </c>
      <c r="S49" s="532">
        <f t="shared" si="25"/>
        <v>0</v>
      </c>
      <c r="T49" s="532">
        <f t="shared" si="25"/>
        <v>0</v>
      </c>
      <c r="U49" s="532">
        <f t="shared" si="25"/>
        <v>0</v>
      </c>
      <c r="V49" s="532">
        <f t="shared" si="25"/>
        <v>0</v>
      </c>
      <c r="W49" s="532">
        <f t="shared" si="25"/>
        <v>0</v>
      </c>
      <c r="X49" s="532">
        <f t="shared" si="25"/>
        <v>0</v>
      </c>
      <c r="Y49" s="532">
        <f t="shared" si="25"/>
        <v>44123822062</v>
      </c>
      <c r="Z49" s="532">
        <f t="shared" si="25"/>
        <v>16991407463.370001</v>
      </c>
      <c r="AA49" s="532">
        <f t="shared" si="25"/>
        <v>15592621123.110001</v>
      </c>
      <c r="AB49" s="532">
        <f t="shared" si="25"/>
        <v>15588537798.110001</v>
      </c>
      <c r="AC49" s="37"/>
    </row>
    <row r="50" spans="1:29" ht="16.5" thickTop="1" thickBot="1" x14ac:dyDescent="0.3">
      <c r="A50" s="58">
        <v>3</v>
      </c>
      <c r="B50" s="58" t="s">
        <v>139</v>
      </c>
      <c r="C50" s="58" t="s">
        <v>180</v>
      </c>
      <c r="D50" s="58" t="s">
        <v>129</v>
      </c>
      <c r="E50" s="58" t="s">
        <v>129</v>
      </c>
      <c r="F50" s="58"/>
      <c r="G50" s="58"/>
      <c r="H50" s="69" t="s">
        <v>319</v>
      </c>
      <c r="I50" s="532">
        <f>+I51</f>
        <v>44123822062</v>
      </c>
      <c r="J50" s="532">
        <f t="shared" si="25"/>
        <v>16991407463.370001</v>
      </c>
      <c r="K50" s="532">
        <f t="shared" si="25"/>
        <v>15592621123.110001</v>
      </c>
      <c r="L50" s="532">
        <f t="shared" si="25"/>
        <v>15588537798.110001</v>
      </c>
      <c r="M50" s="532">
        <f t="shared" si="25"/>
        <v>0</v>
      </c>
      <c r="N50" s="532">
        <f t="shared" si="25"/>
        <v>0</v>
      </c>
      <c r="O50" s="532">
        <f t="shared" si="25"/>
        <v>0</v>
      </c>
      <c r="P50" s="532">
        <f t="shared" si="25"/>
        <v>0</v>
      </c>
      <c r="Q50" s="532">
        <f t="shared" si="25"/>
        <v>0</v>
      </c>
      <c r="R50" s="532">
        <f t="shared" si="25"/>
        <v>0</v>
      </c>
      <c r="S50" s="532">
        <f t="shared" si="25"/>
        <v>0</v>
      </c>
      <c r="T50" s="532">
        <f t="shared" si="25"/>
        <v>0</v>
      </c>
      <c r="U50" s="532">
        <f t="shared" si="25"/>
        <v>0</v>
      </c>
      <c r="V50" s="532">
        <f t="shared" si="25"/>
        <v>0</v>
      </c>
      <c r="W50" s="532">
        <f t="shared" si="25"/>
        <v>0</v>
      </c>
      <c r="X50" s="532">
        <f t="shared" si="25"/>
        <v>0</v>
      </c>
      <c r="Y50" s="532">
        <f t="shared" si="25"/>
        <v>44123822062</v>
      </c>
      <c r="Z50" s="532">
        <f t="shared" si="25"/>
        <v>16991407463.370001</v>
      </c>
      <c r="AA50" s="532">
        <f t="shared" si="25"/>
        <v>15592621123.110001</v>
      </c>
      <c r="AB50" s="532">
        <f t="shared" si="25"/>
        <v>15588537798.110001</v>
      </c>
      <c r="AC50" s="37"/>
    </row>
    <row r="51" spans="1:29" ht="16.5" thickTop="1" thickBot="1" x14ac:dyDescent="0.3">
      <c r="A51" s="43">
        <v>2</v>
      </c>
      <c r="B51" s="43" t="s">
        <v>139</v>
      </c>
      <c r="C51" s="43" t="s">
        <v>180</v>
      </c>
      <c r="D51" s="44" t="s">
        <v>129</v>
      </c>
      <c r="E51" s="44" t="s">
        <v>129</v>
      </c>
      <c r="F51" s="44" t="s">
        <v>129</v>
      </c>
      <c r="G51" s="43"/>
      <c r="H51" s="70" t="s">
        <v>320</v>
      </c>
      <c r="I51" s="525">
        <f>+I52</f>
        <v>44123822062</v>
      </c>
      <c r="J51" s="525">
        <f t="shared" si="25"/>
        <v>16991407463.370001</v>
      </c>
      <c r="K51" s="525">
        <f t="shared" si="25"/>
        <v>15592621123.110001</v>
      </c>
      <c r="L51" s="525">
        <f t="shared" si="25"/>
        <v>15588537798.110001</v>
      </c>
      <c r="M51" s="525">
        <f t="shared" si="25"/>
        <v>0</v>
      </c>
      <c r="N51" s="525">
        <f t="shared" si="25"/>
        <v>0</v>
      </c>
      <c r="O51" s="525">
        <f t="shared" si="25"/>
        <v>0</v>
      </c>
      <c r="P51" s="525">
        <f t="shared" si="25"/>
        <v>0</v>
      </c>
      <c r="Q51" s="525">
        <f t="shared" si="25"/>
        <v>0</v>
      </c>
      <c r="R51" s="525">
        <f t="shared" si="25"/>
        <v>0</v>
      </c>
      <c r="S51" s="525">
        <f t="shared" si="25"/>
        <v>0</v>
      </c>
      <c r="T51" s="525">
        <f t="shared" si="25"/>
        <v>0</v>
      </c>
      <c r="U51" s="525">
        <f t="shared" si="25"/>
        <v>0</v>
      </c>
      <c r="V51" s="525">
        <f t="shared" si="25"/>
        <v>0</v>
      </c>
      <c r="W51" s="525">
        <f t="shared" si="25"/>
        <v>0</v>
      </c>
      <c r="X51" s="525">
        <f t="shared" si="25"/>
        <v>0</v>
      </c>
      <c r="Y51" s="525">
        <f t="shared" si="25"/>
        <v>44123822062</v>
      </c>
      <c r="Z51" s="525">
        <f t="shared" si="25"/>
        <v>16991407463.370001</v>
      </c>
      <c r="AA51" s="525">
        <f t="shared" si="25"/>
        <v>15592621123.110001</v>
      </c>
      <c r="AB51" s="525">
        <f t="shared" si="25"/>
        <v>15588537798.110001</v>
      </c>
      <c r="AC51" s="37"/>
    </row>
    <row r="52" spans="1:29" ht="16.5" thickTop="1" thickBot="1" x14ac:dyDescent="0.3">
      <c r="A52" s="43">
        <v>2</v>
      </c>
      <c r="B52" s="43" t="s">
        <v>139</v>
      </c>
      <c r="C52" s="43" t="s">
        <v>180</v>
      </c>
      <c r="D52" s="43" t="s">
        <v>129</v>
      </c>
      <c r="E52" s="44" t="s">
        <v>129</v>
      </c>
      <c r="F52" s="44" t="s">
        <v>129</v>
      </c>
      <c r="G52" s="44" t="s">
        <v>129</v>
      </c>
      <c r="H52" s="70" t="s">
        <v>321</v>
      </c>
      <c r="I52" s="525">
        <v>44123822062</v>
      </c>
      <c r="J52" s="525">
        <v>16991407463.370001</v>
      </c>
      <c r="K52" s="525">
        <v>15592621123.110001</v>
      </c>
      <c r="L52" s="525">
        <v>15588537798.110001</v>
      </c>
      <c r="M52" s="525"/>
      <c r="N52" s="525"/>
      <c r="O52" s="525"/>
      <c r="P52" s="525"/>
      <c r="Q52" s="525"/>
      <c r="R52" s="525"/>
      <c r="S52" s="525"/>
      <c r="T52" s="525"/>
      <c r="U52" s="525"/>
      <c r="V52" s="525"/>
      <c r="W52" s="525"/>
      <c r="X52" s="525"/>
      <c r="Y52" s="525">
        <f t="shared" ref="Y52:AB52" si="26">+I52+M52+Q52+U52</f>
        <v>44123822062</v>
      </c>
      <c r="Z52" s="525">
        <f t="shared" si="26"/>
        <v>16991407463.370001</v>
      </c>
      <c r="AA52" s="525">
        <f t="shared" si="26"/>
        <v>15592621123.110001</v>
      </c>
      <c r="AB52" s="525">
        <f t="shared" si="26"/>
        <v>15588537798.110001</v>
      </c>
      <c r="AC52" s="37"/>
    </row>
    <row r="53" spans="1:29" ht="16.5" thickTop="1" thickBot="1" x14ac:dyDescent="0.3">
      <c r="A53" s="58">
        <v>2</v>
      </c>
      <c r="B53" s="58" t="s">
        <v>139</v>
      </c>
      <c r="C53" s="58" t="s">
        <v>180</v>
      </c>
      <c r="D53" s="58" t="s">
        <v>134</v>
      </c>
      <c r="E53" s="58"/>
      <c r="F53" s="58"/>
      <c r="G53" s="58"/>
      <c r="H53" s="69" t="s">
        <v>1058</v>
      </c>
      <c r="I53" s="532">
        <f>+I54</f>
        <v>19549452866</v>
      </c>
      <c r="J53" s="532">
        <f t="shared" ref="J53:AB55" si="27">+J54</f>
        <v>19181525696.200001</v>
      </c>
      <c r="K53" s="532">
        <f t="shared" si="27"/>
        <v>8942596167</v>
      </c>
      <c r="L53" s="532">
        <f t="shared" si="27"/>
        <v>8840935664</v>
      </c>
      <c r="M53" s="532">
        <f t="shared" si="27"/>
        <v>0</v>
      </c>
      <c r="N53" s="532">
        <f t="shared" si="27"/>
        <v>0</v>
      </c>
      <c r="O53" s="532">
        <f t="shared" si="27"/>
        <v>0</v>
      </c>
      <c r="P53" s="532">
        <f t="shared" si="27"/>
        <v>0</v>
      </c>
      <c r="Q53" s="532">
        <f t="shared" si="27"/>
        <v>0</v>
      </c>
      <c r="R53" s="532">
        <f t="shared" si="27"/>
        <v>0</v>
      </c>
      <c r="S53" s="532">
        <f t="shared" si="27"/>
        <v>0</v>
      </c>
      <c r="T53" s="532">
        <f t="shared" si="27"/>
        <v>0</v>
      </c>
      <c r="U53" s="532">
        <f t="shared" si="27"/>
        <v>0</v>
      </c>
      <c r="V53" s="532">
        <f t="shared" si="27"/>
        <v>0</v>
      </c>
      <c r="W53" s="532">
        <f t="shared" si="27"/>
        <v>0</v>
      </c>
      <c r="X53" s="532">
        <f t="shared" si="27"/>
        <v>0</v>
      </c>
      <c r="Y53" s="532">
        <f t="shared" si="27"/>
        <v>19549452866</v>
      </c>
      <c r="Z53" s="532">
        <f t="shared" si="27"/>
        <v>19181525696.200001</v>
      </c>
      <c r="AA53" s="532">
        <f t="shared" si="27"/>
        <v>8942596167</v>
      </c>
      <c r="AB53" s="532">
        <f t="shared" si="27"/>
        <v>8840935664</v>
      </c>
      <c r="AC53" s="37"/>
    </row>
    <row r="54" spans="1:29" ht="16.5" thickTop="1" thickBot="1" x14ac:dyDescent="0.3">
      <c r="A54" s="58">
        <v>3</v>
      </c>
      <c r="B54" s="58" t="s">
        <v>139</v>
      </c>
      <c r="C54" s="58" t="s">
        <v>180</v>
      </c>
      <c r="D54" s="58" t="s">
        <v>134</v>
      </c>
      <c r="E54" s="58" t="s">
        <v>129</v>
      </c>
      <c r="F54" s="58"/>
      <c r="G54" s="58"/>
      <c r="H54" s="69" t="s">
        <v>319</v>
      </c>
      <c r="I54" s="532">
        <f>+I55</f>
        <v>19549452866</v>
      </c>
      <c r="J54" s="532">
        <f t="shared" si="27"/>
        <v>19181525696.200001</v>
      </c>
      <c r="K54" s="532">
        <f t="shared" si="27"/>
        <v>8942596167</v>
      </c>
      <c r="L54" s="532">
        <f t="shared" si="27"/>
        <v>8840935664</v>
      </c>
      <c r="M54" s="532">
        <f t="shared" si="27"/>
        <v>0</v>
      </c>
      <c r="N54" s="532">
        <f t="shared" si="27"/>
        <v>0</v>
      </c>
      <c r="O54" s="532">
        <f t="shared" si="27"/>
        <v>0</v>
      </c>
      <c r="P54" s="532">
        <f t="shared" si="27"/>
        <v>0</v>
      </c>
      <c r="Q54" s="532">
        <f t="shared" si="27"/>
        <v>0</v>
      </c>
      <c r="R54" s="532">
        <f t="shared" si="27"/>
        <v>0</v>
      </c>
      <c r="S54" s="532">
        <f t="shared" si="27"/>
        <v>0</v>
      </c>
      <c r="T54" s="532">
        <f t="shared" si="27"/>
        <v>0</v>
      </c>
      <c r="U54" s="532">
        <f t="shared" si="27"/>
        <v>0</v>
      </c>
      <c r="V54" s="532">
        <f t="shared" si="27"/>
        <v>0</v>
      </c>
      <c r="W54" s="532">
        <f t="shared" si="27"/>
        <v>0</v>
      </c>
      <c r="X54" s="532">
        <f t="shared" si="27"/>
        <v>0</v>
      </c>
      <c r="Y54" s="532">
        <f t="shared" si="27"/>
        <v>19549452866</v>
      </c>
      <c r="Z54" s="532">
        <f t="shared" si="27"/>
        <v>19181525696.200001</v>
      </c>
      <c r="AA54" s="532">
        <f t="shared" si="27"/>
        <v>8942596167</v>
      </c>
      <c r="AB54" s="532">
        <f t="shared" si="27"/>
        <v>8840935664</v>
      </c>
      <c r="AC54" s="37"/>
    </row>
    <row r="55" spans="1:29" ht="16.5" thickTop="1" thickBot="1" x14ac:dyDescent="0.3">
      <c r="A55" s="43">
        <v>2</v>
      </c>
      <c r="B55" s="43" t="s">
        <v>139</v>
      </c>
      <c r="C55" s="43" t="s">
        <v>180</v>
      </c>
      <c r="D55" s="44" t="s">
        <v>134</v>
      </c>
      <c r="E55" s="44" t="s">
        <v>129</v>
      </c>
      <c r="F55" s="44" t="s">
        <v>129</v>
      </c>
      <c r="G55" s="43"/>
      <c r="H55" s="70" t="s">
        <v>320</v>
      </c>
      <c r="I55" s="525">
        <f>+I56</f>
        <v>19549452866</v>
      </c>
      <c r="J55" s="525">
        <f t="shared" si="27"/>
        <v>19181525696.200001</v>
      </c>
      <c r="K55" s="525">
        <f t="shared" si="27"/>
        <v>8942596167</v>
      </c>
      <c r="L55" s="525">
        <f t="shared" si="27"/>
        <v>8840935664</v>
      </c>
      <c r="M55" s="525">
        <f t="shared" si="27"/>
        <v>0</v>
      </c>
      <c r="N55" s="525">
        <f t="shared" si="27"/>
        <v>0</v>
      </c>
      <c r="O55" s="525">
        <f t="shared" si="27"/>
        <v>0</v>
      </c>
      <c r="P55" s="525">
        <f t="shared" si="27"/>
        <v>0</v>
      </c>
      <c r="Q55" s="525">
        <f t="shared" si="27"/>
        <v>0</v>
      </c>
      <c r="R55" s="525">
        <f t="shared" si="27"/>
        <v>0</v>
      </c>
      <c r="S55" s="525">
        <f t="shared" si="27"/>
        <v>0</v>
      </c>
      <c r="T55" s="525">
        <f t="shared" si="27"/>
        <v>0</v>
      </c>
      <c r="U55" s="525">
        <f t="shared" si="27"/>
        <v>0</v>
      </c>
      <c r="V55" s="525">
        <f t="shared" si="27"/>
        <v>0</v>
      </c>
      <c r="W55" s="525">
        <f t="shared" si="27"/>
        <v>0</v>
      </c>
      <c r="X55" s="525">
        <f t="shared" si="27"/>
        <v>0</v>
      </c>
      <c r="Y55" s="525">
        <f t="shared" si="27"/>
        <v>19549452866</v>
      </c>
      <c r="Z55" s="525">
        <f t="shared" si="27"/>
        <v>19181525696.200001</v>
      </c>
      <c r="AA55" s="525">
        <f t="shared" si="27"/>
        <v>8942596167</v>
      </c>
      <c r="AB55" s="525">
        <f t="shared" si="27"/>
        <v>8840935664</v>
      </c>
      <c r="AC55" s="37"/>
    </row>
    <row r="56" spans="1:29" ht="16.5" thickTop="1" thickBot="1" x14ac:dyDescent="0.3">
      <c r="A56" s="43">
        <v>2</v>
      </c>
      <c r="B56" s="43" t="s">
        <v>139</v>
      </c>
      <c r="C56" s="43" t="s">
        <v>180</v>
      </c>
      <c r="D56" s="44" t="s">
        <v>134</v>
      </c>
      <c r="E56" s="44" t="s">
        <v>129</v>
      </c>
      <c r="F56" s="44" t="s">
        <v>129</v>
      </c>
      <c r="G56" s="44" t="s">
        <v>129</v>
      </c>
      <c r="H56" s="70" t="s">
        <v>321</v>
      </c>
      <c r="I56" s="525">
        <v>19549452866</v>
      </c>
      <c r="J56" s="525">
        <v>19181525696.200001</v>
      </c>
      <c r="K56" s="525">
        <v>8942596167</v>
      </c>
      <c r="L56" s="525">
        <v>8840935664</v>
      </c>
      <c r="M56" s="525"/>
      <c r="N56" s="525"/>
      <c r="O56" s="525"/>
      <c r="P56" s="525"/>
      <c r="Q56" s="525"/>
      <c r="R56" s="525"/>
      <c r="S56" s="525"/>
      <c r="T56" s="525"/>
      <c r="U56" s="525"/>
      <c r="V56" s="525"/>
      <c r="W56" s="525"/>
      <c r="X56" s="525"/>
      <c r="Y56" s="525">
        <f t="shared" ref="Y56:AB56" si="28">+I56+M56+Q56+U56</f>
        <v>19549452866</v>
      </c>
      <c r="Z56" s="525">
        <f t="shared" si="28"/>
        <v>19181525696.200001</v>
      </c>
      <c r="AA56" s="525">
        <f t="shared" si="28"/>
        <v>8942596167</v>
      </c>
      <c r="AB56" s="525">
        <f t="shared" si="28"/>
        <v>8840935664</v>
      </c>
      <c r="AC56" s="37"/>
    </row>
    <row r="57" spans="1:29" ht="16.5" thickTop="1" thickBot="1" x14ac:dyDescent="0.3">
      <c r="A57" s="58">
        <v>2</v>
      </c>
      <c r="B57" s="58" t="s">
        <v>139</v>
      </c>
      <c r="C57" s="58" t="s">
        <v>180</v>
      </c>
      <c r="D57" s="58" t="s">
        <v>139</v>
      </c>
      <c r="E57" s="58"/>
      <c r="F57" s="58"/>
      <c r="G57" s="58"/>
      <c r="H57" s="69" t="s">
        <v>1059</v>
      </c>
      <c r="I57" s="532">
        <f>+I58</f>
        <v>34346706847</v>
      </c>
      <c r="J57" s="532">
        <f t="shared" ref="J57:AB59" si="29">+J58</f>
        <v>32549790015.5</v>
      </c>
      <c r="K57" s="532">
        <f t="shared" si="29"/>
        <v>32549790015.5</v>
      </c>
      <c r="L57" s="532">
        <f t="shared" si="29"/>
        <v>32549790015.5</v>
      </c>
      <c r="M57" s="532">
        <f t="shared" si="29"/>
        <v>0</v>
      </c>
      <c r="N57" s="532">
        <f t="shared" si="29"/>
        <v>0</v>
      </c>
      <c r="O57" s="532">
        <f t="shared" si="29"/>
        <v>0</v>
      </c>
      <c r="P57" s="532">
        <f t="shared" si="29"/>
        <v>0</v>
      </c>
      <c r="Q57" s="532">
        <f t="shared" si="29"/>
        <v>0</v>
      </c>
      <c r="R57" s="532">
        <f t="shared" si="29"/>
        <v>0</v>
      </c>
      <c r="S57" s="532">
        <f t="shared" si="29"/>
        <v>0</v>
      </c>
      <c r="T57" s="532">
        <f t="shared" si="29"/>
        <v>0</v>
      </c>
      <c r="U57" s="532">
        <f t="shared" si="29"/>
        <v>0</v>
      </c>
      <c r="V57" s="532">
        <f t="shared" si="29"/>
        <v>0</v>
      </c>
      <c r="W57" s="532">
        <f t="shared" si="29"/>
        <v>0</v>
      </c>
      <c r="X57" s="532">
        <f t="shared" si="29"/>
        <v>0</v>
      </c>
      <c r="Y57" s="532">
        <f t="shared" si="29"/>
        <v>34346706847</v>
      </c>
      <c r="Z57" s="532">
        <f t="shared" si="29"/>
        <v>32549790015.5</v>
      </c>
      <c r="AA57" s="532">
        <f t="shared" si="29"/>
        <v>32549790015.5</v>
      </c>
      <c r="AB57" s="532">
        <f t="shared" si="29"/>
        <v>32549790015.5</v>
      </c>
      <c r="AC57" s="37"/>
    </row>
    <row r="58" spans="1:29" ht="16.5" thickTop="1" thickBot="1" x14ac:dyDescent="0.3">
      <c r="A58" s="58">
        <v>3</v>
      </c>
      <c r="B58" s="58" t="s">
        <v>139</v>
      </c>
      <c r="C58" s="58" t="s">
        <v>180</v>
      </c>
      <c r="D58" s="58" t="s">
        <v>139</v>
      </c>
      <c r="E58" s="58" t="s">
        <v>129</v>
      </c>
      <c r="F58" s="58"/>
      <c r="G58" s="58"/>
      <c r="H58" s="69" t="s">
        <v>319</v>
      </c>
      <c r="I58" s="532">
        <f>+I59</f>
        <v>34346706847</v>
      </c>
      <c r="J58" s="532">
        <f t="shared" si="29"/>
        <v>32549790015.5</v>
      </c>
      <c r="K58" s="532">
        <f t="shared" si="29"/>
        <v>32549790015.5</v>
      </c>
      <c r="L58" s="532">
        <f t="shared" si="29"/>
        <v>32549790015.5</v>
      </c>
      <c r="M58" s="532">
        <f t="shared" si="29"/>
        <v>0</v>
      </c>
      <c r="N58" s="532">
        <f t="shared" si="29"/>
        <v>0</v>
      </c>
      <c r="O58" s="532">
        <f t="shared" si="29"/>
        <v>0</v>
      </c>
      <c r="P58" s="532">
        <f t="shared" si="29"/>
        <v>0</v>
      </c>
      <c r="Q58" s="532">
        <f t="shared" si="29"/>
        <v>0</v>
      </c>
      <c r="R58" s="532">
        <f t="shared" si="29"/>
        <v>0</v>
      </c>
      <c r="S58" s="532">
        <f t="shared" si="29"/>
        <v>0</v>
      </c>
      <c r="T58" s="532">
        <f t="shared" si="29"/>
        <v>0</v>
      </c>
      <c r="U58" s="532">
        <f t="shared" si="29"/>
        <v>0</v>
      </c>
      <c r="V58" s="532">
        <f t="shared" si="29"/>
        <v>0</v>
      </c>
      <c r="W58" s="532">
        <f t="shared" si="29"/>
        <v>0</v>
      </c>
      <c r="X58" s="532">
        <f t="shared" si="29"/>
        <v>0</v>
      </c>
      <c r="Y58" s="532">
        <f t="shared" si="29"/>
        <v>34346706847</v>
      </c>
      <c r="Z58" s="532">
        <f t="shared" si="29"/>
        <v>32549790015.5</v>
      </c>
      <c r="AA58" s="532">
        <f t="shared" si="29"/>
        <v>32549790015.5</v>
      </c>
      <c r="AB58" s="532">
        <f t="shared" si="29"/>
        <v>32549790015.5</v>
      </c>
      <c r="AC58" s="37"/>
    </row>
    <row r="59" spans="1:29" ht="16.5" thickTop="1" thickBot="1" x14ac:dyDescent="0.3">
      <c r="A59" s="43">
        <v>2</v>
      </c>
      <c r="B59" s="43" t="s">
        <v>139</v>
      </c>
      <c r="C59" s="43" t="s">
        <v>180</v>
      </c>
      <c r="D59" s="44" t="s">
        <v>139</v>
      </c>
      <c r="E59" s="44" t="s">
        <v>129</v>
      </c>
      <c r="F59" s="44" t="s">
        <v>129</v>
      </c>
      <c r="G59" s="43"/>
      <c r="H59" s="70" t="s">
        <v>320</v>
      </c>
      <c r="I59" s="525">
        <f>+I60</f>
        <v>34346706847</v>
      </c>
      <c r="J59" s="525">
        <f t="shared" si="29"/>
        <v>32549790015.5</v>
      </c>
      <c r="K59" s="525">
        <f t="shared" si="29"/>
        <v>32549790015.5</v>
      </c>
      <c r="L59" s="525">
        <f t="shared" si="29"/>
        <v>32549790015.5</v>
      </c>
      <c r="M59" s="525">
        <f t="shared" si="29"/>
        <v>0</v>
      </c>
      <c r="N59" s="525">
        <f t="shared" si="29"/>
        <v>0</v>
      </c>
      <c r="O59" s="525">
        <f t="shared" si="29"/>
        <v>0</v>
      </c>
      <c r="P59" s="525">
        <f t="shared" si="29"/>
        <v>0</v>
      </c>
      <c r="Q59" s="525">
        <f t="shared" si="29"/>
        <v>0</v>
      </c>
      <c r="R59" s="525">
        <f t="shared" si="29"/>
        <v>0</v>
      </c>
      <c r="S59" s="525">
        <f t="shared" si="29"/>
        <v>0</v>
      </c>
      <c r="T59" s="525">
        <f t="shared" si="29"/>
        <v>0</v>
      </c>
      <c r="U59" s="525">
        <f t="shared" si="29"/>
        <v>0</v>
      </c>
      <c r="V59" s="525">
        <f t="shared" si="29"/>
        <v>0</v>
      </c>
      <c r="W59" s="525">
        <f t="shared" si="29"/>
        <v>0</v>
      </c>
      <c r="X59" s="525">
        <f t="shared" si="29"/>
        <v>0</v>
      </c>
      <c r="Y59" s="525">
        <f t="shared" si="29"/>
        <v>34346706847</v>
      </c>
      <c r="Z59" s="525">
        <f t="shared" si="29"/>
        <v>32549790015.5</v>
      </c>
      <c r="AA59" s="525">
        <f t="shared" si="29"/>
        <v>32549790015.5</v>
      </c>
      <c r="AB59" s="525">
        <f t="shared" si="29"/>
        <v>32549790015.5</v>
      </c>
      <c r="AC59" s="37"/>
    </row>
    <row r="60" spans="1:29" ht="16.5" thickTop="1" thickBot="1" x14ac:dyDescent="0.3">
      <c r="A60" s="43">
        <v>2</v>
      </c>
      <c r="B60" s="43" t="s">
        <v>139</v>
      </c>
      <c r="C60" s="43" t="s">
        <v>180</v>
      </c>
      <c r="D60" s="44" t="s">
        <v>139</v>
      </c>
      <c r="E60" s="44" t="s">
        <v>129</v>
      </c>
      <c r="F60" s="44" t="s">
        <v>129</v>
      </c>
      <c r="G60" s="44" t="s">
        <v>129</v>
      </c>
      <c r="H60" s="70" t="s">
        <v>321</v>
      </c>
      <c r="I60" s="525">
        <v>34346706847</v>
      </c>
      <c r="J60" s="525">
        <v>32549790015.5</v>
      </c>
      <c r="K60" s="525">
        <v>32549790015.5</v>
      </c>
      <c r="L60" s="525">
        <v>32549790015.5</v>
      </c>
      <c r="M60" s="525"/>
      <c r="N60" s="525"/>
      <c r="O60" s="525"/>
      <c r="P60" s="525"/>
      <c r="Q60" s="525"/>
      <c r="R60" s="525"/>
      <c r="S60" s="525"/>
      <c r="T60" s="525"/>
      <c r="U60" s="525"/>
      <c r="V60" s="525"/>
      <c r="W60" s="525"/>
      <c r="X60" s="525"/>
      <c r="Y60" s="525">
        <f t="shared" ref="Y60:AB60" si="30">+I60+M60+Q60+U60</f>
        <v>34346706847</v>
      </c>
      <c r="Z60" s="525">
        <f t="shared" si="30"/>
        <v>32549790015.5</v>
      </c>
      <c r="AA60" s="525">
        <f t="shared" si="30"/>
        <v>32549790015.5</v>
      </c>
      <c r="AB60" s="525">
        <f t="shared" si="30"/>
        <v>32549790015.5</v>
      </c>
      <c r="AC60" s="37"/>
    </row>
    <row r="61" spans="1:29" ht="16.5" thickTop="1" thickBot="1" x14ac:dyDescent="0.3">
      <c r="A61" s="67">
        <v>2</v>
      </c>
      <c r="B61" s="38" t="s">
        <v>139</v>
      </c>
      <c r="C61" s="38" t="s">
        <v>181</v>
      </c>
      <c r="D61" s="38"/>
      <c r="E61" s="67"/>
      <c r="F61" s="67"/>
      <c r="G61" s="67"/>
      <c r="H61" s="68" t="s">
        <v>1060</v>
      </c>
      <c r="I61" s="531">
        <f>+I62+I66+I70</f>
        <v>4565875573</v>
      </c>
      <c r="J61" s="531">
        <f t="shared" ref="J61:AB61" si="31">+J62+J66+J70</f>
        <v>3993944361.1999998</v>
      </c>
      <c r="K61" s="531">
        <f t="shared" si="31"/>
        <v>2874263215</v>
      </c>
      <c r="L61" s="531">
        <f t="shared" si="31"/>
        <v>2711863705</v>
      </c>
      <c r="M61" s="531">
        <f t="shared" si="31"/>
        <v>0</v>
      </c>
      <c r="N61" s="531">
        <f t="shared" si="31"/>
        <v>0</v>
      </c>
      <c r="O61" s="531">
        <f t="shared" si="31"/>
        <v>0</v>
      </c>
      <c r="P61" s="531">
        <f t="shared" si="31"/>
        <v>0</v>
      </c>
      <c r="Q61" s="531">
        <f t="shared" si="31"/>
        <v>0</v>
      </c>
      <c r="R61" s="531">
        <f t="shared" si="31"/>
        <v>0</v>
      </c>
      <c r="S61" s="531">
        <f t="shared" si="31"/>
        <v>0</v>
      </c>
      <c r="T61" s="531">
        <f t="shared" si="31"/>
        <v>0</v>
      </c>
      <c r="U61" s="531">
        <f t="shared" si="31"/>
        <v>0</v>
      </c>
      <c r="V61" s="531">
        <f t="shared" si="31"/>
        <v>0</v>
      </c>
      <c r="W61" s="531">
        <f t="shared" si="31"/>
        <v>0</v>
      </c>
      <c r="X61" s="531">
        <f t="shared" si="31"/>
        <v>0</v>
      </c>
      <c r="Y61" s="531">
        <f t="shared" si="31"/>
        <v>4565875573</v>
      </c>
      <c r="Z61" s="531">
        <f t="shared" si="31"/>
        <v>3993944361.1999998</v>
      </c>
      <c r="AA61" s="531">
        <f t="shared" si="31"/>
        <v>2874263215</v>
      </c>
      <c r="AB61" s="531">
        <f t="shared" si="31"/>
        <v>2711863705</v>
      </c>
      <c r="AC61" s="37"/>
    </row>
    <row r="62" spans="1:29" ht="16.5" thickTop="1" thickBot="1" x14ac:dyDescent="0.3">
      <c r="A62" s="58">
        <v>2</v>
      </c>
      <c r="B62" s="58" t="s">
        <v>139</v>
      </c>
      <c r="C62" s="58" t="s">
        <v>181</v>
      </c>
      <c r="D62" s="58" t="s">
        <v>129</v>
      </c>
      <c r="E62" s="58"/>
      <c r="F62" s="58"/>
      <c r="G62" s="58"/>
      <c r="H62" s="69" t="s">
        <v>1061</v>
      </c>
      <c r="I62" s="532">
        <f>+I63</f>
        <v>1100000000</v>
      </c>
      <c r="J62" s="532">
        <f t="shared" ref="J62:AB64" si="32">+J63</f>
        <v>859909131</v>
      </c>
      <c r="K62" s="532">
        <f t="shared" si="32"/>
        <v>642270869</v>
      </c>
      <c r="L62" s="532">
        <f t="shared" si="32"/>
        <v>494797620</v>
      </c>
      <c r="M62" s="532">
        <f t="shared" si="32"/>
        <v>0</v>
      </c>
      <c r="N62" s="532">
        <f t="shared" si="32"/>
        <v>0</v>
      </c>
      <c r="O62" s="532">
        <f t="shared" si="32"/>
        <v>0</v>
      </c>
      <c r="P62" s="532">
        <f t="shared" si="32"/>
        <v>0</v>
      </c>
      <c r="Q62" s="532">
        <f t="shared" si="32"/>
        <v>0</v>
      </c>
      <c r="R62" s="532">
        <f t="shared" si="32"/>
        <v>0</v>
      </c>
      <c r="S62" s="532">
        <f t="shared" si="32"/>
        <v>0</v>
      </c>
      <c r="T62" s="532">
        <f t="shared" si="32"/>
        <v>0</v>
      </c>
      <c r="U62" s="532">
        <f t="shared" si="32"/>
        <v>0</v>
      </c>
      <c r="V62" s="532">
        <f t="shared" si="32"/>
        <v>0</v>
      </c>
      <c r="W62" s="532">
        <f t="shared" si="32"/>
        <v>0</v>
      </c>
      <c r="X62" s="532">
        <f t="shared" si="32"/>
        <v>0</v>
      </c>
      <c r="Y62" s="532">
        <f t="shared" si="32"/>
        <v>1100000000</v>
      </c>
      <c r="Z62" s="532">
        <f t="shared" si="32"/>
        <v>859909131</v>
      </c>
      <c r="AA62" s="532">
        <f t="shared" si="32"/>
        <v>642270869</v>
      </c>
      <c r="AB62" s="532">
        <f t="shared" si="32"/>
        <v>494797620</v>
      </c>
      <c r="AC62" s="37"/>
    </row>
    <row r="63" spans="1:29" ht="16.5" thickTop="1" thickBot="1" x14ac:dyDescent="0.3">
      <c r="A63" s="58">
        <v>3</v>
      </c>
      <c r="B63" s="58" t="s">
        <v>139</v>
      </c>
      <c r="C63" s="58" t="s">
        <v>181</v>
      </c>
      <c r="D63" s="58" t="s">
        <v>129</v>
      </c>
      <c r="E63" s="58" t="s">
        <v>129</v>
      </c>
      <c r="F63" s="58"/>
      <c r="G63" s="58"/>
      <c r="H63" s="69" t="s">
        <v>319</v>
      </c>
      <c r="I63" s="532">
        <f>+I64</f>
        <v>1100000000</v>
      </c>
      <c r="J63" s="532">
        <f t="shared" si="32"/>
        <v>859909131</v>
      </c>
      <c r="K63" s="532">
        <f t="shared" si="32"/>
        <v>642270869</v>
      </c>
      <c r="L63" s="532">
        <f t="shared" si="32"/>
        <v>494797620</v>
      </c>
      <c r="M63" s="532">
        <f t="shared" si="32"/>
        <v>0</v>
      </c>
      <c r="N63" s="532">
        <f t="shared" si="32"/>
        <v>0</v>
      </c>
      <c r="O63" s="532">
        <f t="shared" si="32"/>
        <v>0</v>
      </c>
      <c r="P63" s="532">
        <f t="shared" si="32"/>
        <v>0</v>
      </c>
      <c r="Q63" s="532">
        <f t="shared" si="32"/>
        <v>0</v>
      </c>
      <c r="R63" s="532">
        <f t="shared" si="32"/>
        <v>0</v>
      </c>
      <c r="S63" s="532">
        <f t="shared" si="32"/>
        <v>0</v>
      </c>
      <c r="T63" s="532">
        <f t="shared" si="32"/>
        <v>0</v>
      </c>
      <c r="U63" s="532">
        <f t="shared" si="32"/>
        <v>0</v>
      </c>
      <c r="V63" s="532">
        <f t="shared" si="32"/>
        <v>0</v>
      </c>
      <c r="W63" s="532">
        <f t="shared" si="32"/>
        <v>0</v>
      </c>
      <c r="X63" s="532">
        <f t="shared" si="32"/>
        <v>0</v>
      </c>
      <c r="Y63" s="532">
        <f t="shared" si="32"/>
        <v>1100000000</v>
      </c>
      <c r="Z63" s="532">
        <f t="shared" si="32"/>
        <v>859909131</v>
      </c>
      <c r="AA63" s="532">
        <f t="shared" si="32"/>
        <v>642270869</v>
      </c>
      <c r="AB63" s="532">
        <f t="shared" si="32"/>
        <v>494797620</v>
      </c>
      <c r="AC63" s="37"/>
    </row>
    <row r="64" spans="1:29" ht="16.5" thickTop="1" thickBot="1" x14ac:dyDescent="0.3">
      <c r="A64" s="43">
        <v>2</v>
      </c>
      <c r="B64" s="43" t="s">
        <v>139</v>
      </c>
      <c r="C64" s="44" t="s">
        <v>181</v>
      </c>
      <c r="D64" s="44" t="s">
        <v>129</v>
      </c>
      <c r="E64" s="44" t="s">
        <v>129</v>
      </c>
      <c r="F64" s="44" t="s">
        <v>129</v>
      </c>
      <c r="G64" s="43"/>
      <c r="H64" s="70" t="s">
        <v>320</v>
      </c>
      <c r="I64" s="525">
        <f>+I65</f>
        <v>1100000000</v>
      </c>
      <c r="J64" s="525">
        <f t="shared" si="32"/>
        <v>859909131</v>
      </c>
      <c r="K64" s="525">
        <f t="shared" si="32"/>
        <v>642270869</v>
      </c>
      <c r="L64" s="525">
        <f t="shared" si="32"/>
        <v>494797620</v>
      </c>
      <c r="M64" s="525">
        <f t="shared" si="32"/>
        <v>0</v>
      </c>
      <c r="N64" s="525">
        <f t="shared" si="32"/>
        <v>0</v>
      </c>
      <c r="O64" s="525">
        <f t="shared" si="32"/>
        <v>0</v>
      </c>
      <c r="P64" s="525">
        <f t="shared" si="32"/>
        <v>0</v>
      </c>
      <c r="Q64" s="525">
        <f t="shared" si="32"/>
        <v>0</v>
      </c>
      <c r="R64" s="525">
        <f t="shared" si="32"/>
        <v>0</v>
      </c>
      <c r="S64" s="525">
        <f t="shared" si="32"/>
        <v>0</v>
      </c>
      <c r="T64" s="525">
        <f t="shared" si="32"/>
        <v>0</v>
      </c>
      <c r="U64" s="525">
        <f t="shared" si="32"/>
        <v>0</v>
      </c>
      <c r="V64" s="525">
        <f t="shared" si="32"/>
        <v>0</v>
      </c>
      <c r="W64" s="525">
        <f t="shared" si="32"/>
        <v>0</v>
      </c>
      <c r="X64" s="525">
        <f t="shared" si="32"/>
        <v>0</v>
      </c>
      <c r="Y64" s="525">
        <f t="shared" si="32"/>
        <v>1100000000</v>
      </c>
      <c r="Z64" s="525">
        <f t="shared" si="32"/>
        <v>859909131</v>
      </c>
      <c r="AA64" s="525">
        <f t="shared" si="32"/>
        <v>642270869</v>
      </c>
      <c r="AB64" s="525">
        <f t="shared" si="32"/>
        <v>494797620</v>
      </c>
      <c r="AC64" s="37"/>
    </row>
    <row r="65" spans="1:29" ht="16.5" thickTop="1" thickBot="1" x14ac:dyDescent="0.3">
      <c r="A65" s="43">
        <v>2</v>
      </c>
      <c r="B65" s="43" t="s">
        <v>139</v>
      </c>
      <c r="C65" s="43" t="s">
        <v>181</v>
      </c>
      <c r="D65" s="43" t="s">
        <v>129</v>
      </c>
      <c r="E65" s="44" t="s">
        <v>129</v>
      </c>
      <c r="F65" s="44" t="s">
        <v>129</v>
      </c>
      <c r="G65" s="44" t="s">
        <v>129</v>
      </c>
      <c r="H65" s="70" t="s">
        <v>321</v>
      </c>
      <c r="I65" s="525">
        <v>1100000000</v>
      </c>
      <c r="J65" s="525">
        <v>859909131</v>
      </c>
      <c r="K65" s="525">
        <v>642270869</v>
      </c>
      <c r="L65" s="525">
        <v>494797620</v>
      </c>
      <c r="M65" s="525"/>
      <c r="N65" s="525"/>
      <c r="O65" s="525"/>
      <c r="P65" s="525"/>
      <c r="Q65" s="525"/>
      <c r="R65" s="525"/>
      <c r="S65" s="525"/>
      <c r="T65" s="525"/>
      <c r="U65" s="525"/>
      <c r="V65" s="525"/>
      <c r="W65" s="525"/>
      <c r="X65" s="525"/>
      <c r="Y65" s="525">
        <f t="shared" ref="Y65:AB65" si="33">+I65+M65+Q65+U65</f>
        <v>1100000000</v>
      </c>
      <c r="Z65" s="525">
        <f t="shared" si="33"/>
        <v>859909131</v>
      </c>
      <c r="AA65" s="525">
        <f t="shared" si="33"/>
        <v>642270869</v>
      </c>
      <c r="AB65" s="525">
        <f t="shared" si="33"/>
        <v>494797620</v>
      </c>
      <c r="AC65" s="37"/>
    </row>
    <row r="66" spans="1:29" ht="16.5" thickTop="1" thickBot="1" x14ac:dyDescent="0.3">
      <c r="A66" s="58">
        <v>2</v>
      </c>
      <c r="B66" s="58" t="s">
        <v>139</v>
      </c>
      <c r="C66" s="58" t="s">
        <v>181</v>
      </c>
      <c r="D66" s="58" t="s">
        <v>134</v>
      </c>
      <c r="E66" s="58"/>
      <c r="F66" s="58"/>
      <c r="G66" s="58"/>
      <c r="H66" s="69" t="s">
        <v>1062</v>
      </c>
      <c r="I66" s="532">
        <f>+I67</f>
        <v>623875573</v>
      </c>
      <c r="J66" s="532">
        <f t="shared" ref="J66:AB68" si="34">+J67</f>
        <v>620295093.20000005</v>
      </c>
      <c r="K66" s="532">
        <f t="shared" si="34"/>
        <v>272712026</v>
      </c>
      <c r="L66" s="532">
        <f t="shared" si="34"/>
        <v>269372556</v>
      </c>
      <c r="M66" s="532">
        <f t="shared" si="34"/>
        <v>0</v>
      </c>
      <c r="N66" s="532">
        <f t="shared" si="34"/>
        <v>0</v>
      </c>
      <c r="O66" s="532">
        <f t="shared" si="34"/>
        <v>0</v>
      </c>
      <c r="P66" s="532">
        <f t="shared" si="34"/>
        <v>0</v>
      </c>
      <c r="Q66" s="532">
        <f t="shared" si="34"/>
        <v>0</v>
      </c>
      <c r="R66" s="532">
        <f t="shared" si="34"/>
        <v>0</v>
      </c>
      <c r="S66" s="532">
        <f t="shared" si="34"/>
        <v>0</v>
      </c>
      <c r="T66" s="532">
        <f t="shared" si="34"/>
        <v>0</v>
      </c>
      <c r="U66" s="532">
        <f t="shared" si="34"/>
        <v>0</v>
      </c>
      <c r="V66" s="532">
        <f t="shared" si="34"/>
        <v>0</v>
      </c>
      <c r="W66" s="532">
        <f t="shared" si="34"/>
        <v>0</v>
      </c>
      <c r="X66" s="532">
        <f t="shared" si="34"/>
        <v>0</v>
      </c>
      <c r="Y66" s="532">
        <f t="shared" si="34"/>
        <v>623875573</v>
      </c>
      <c r="Z66" s="532">
        <f t="shared" si="34"/>
        <v>620295093.20000005</v>
      </c>
      <c r="AA66" s="532">
        <f t="shared" si="34"/>
        <v>272712026</v>
      </c>
      <c r="AB66" s="532">
        <f t="shared" si="34"/>
        <v>269372556</v>
      </c>
      <c r="AC66" s="37"/>
    </row>
    <row r="67" spans="1:29" ht="16.5" thickTop="1" thickBot="1" x14ac:dyDescent="0.3">
      <c r="A67" s="58">
        <v>3</v>
      </c>
      <c r="B67" s="58" t="s">
        <v>139</v>
      </c>
      <c r="C67" s="58" t="s">
        <v>181</v>
      </c>
      <c r="D67" s="58" t="s">
        <v>134</v>
      </c>
      <c r="E67" s="58" t="s">
        <v>129</v>
      </c>
      <c r="F67" s="58"/>
      <c r="G67" s="58"/>
      <c r="H67" s="69" t="s">
        <v>319</v>
      </c>
      <c r="I67" s="532">
        <f>+I68</f>
        <v>623875573</v>
      </c>
      <c r="J67" s="532">
        <f t="shared" si="34"/>
        <v>620295093.20000005</v>
      </c>
      <c r="K67" s="532">
        <f t="shared" si="34"/>
        <v>272712026</v>
      </c>
      <c r="L67" s="532">
        <f t="shared" si="34"/>
        <v>269372556</v>
      </c>
      <c r="M67" s="532">
        <f t="shared" si="34"/>
        <v>0</v>
      </c>
      <c r="N67" s="532">
        <f t="shared" si="34"/>
        <v>0</v>
      </c>
      <c r="O67" s="532">
        <f t="shared" si="34"/>
        <v>0</v>
      </c>
      <c r="P67" s="532">
        <f t="shared" si="34"/>
        <v>0</v>
      </c>
      <c r="Q67" s="532">
        <f t="shared" si="34"/>
        <v>0</v>
      </c>
      <c r="R67" s="532">
        <f t="shared" si="34"/>
        <v>0</v>
      </c>
      <c r="S67" s="532">
        <f t="shared" si="34"/>
        <v>0</v>
      </c>
      <c r="T67" s="532">
        <f t="shared" si="34"/>
        <v>0</v>
      </c>
      <c r="U67" s="532">
        <f t="shared" si="34"/>
        <v>0</v>
      </c>
      <c r="V67" s="532">
        <f t="shared" si="34"/>
        <v>0</v>
      </c>
      <c r="W67" s="532">
        <f t="shared" si="34"/>
        <v>0</v>
      </c>
      <c r="X67" s="532">
        <f t="shared" si="34"/>
        <v>0</v>
      </c>
      <c r="Y67" s="532">
        <f t="shared" si="34"/>
        <v>623875573</v>
      </c>
      <c r="Z67" s="532">
        <f t="shared" si="34"/>
        <v>620295093.20000005</v>
      </c>
      <c r="AA67" s="532">
        <f t="shared" si="34"/>
        <v>272712026</v>
      </c>
      <c r="AB67" s="532">
        <f t="shared" si="34"/>
        <v>269372556</v>
      </c>
      <c r="AC67" s="37"/>
    </row>
    <row r="68" spans="1:29" ht="16.5" thickTop="1" thickBot="1" x14ac:dyDescent="0.3">
      <c r="A68" s="43">
        <v>2</v>
      </c>
      <c r="B68" s="43" t="s">
        <v>139</v>
      </c>
      <c r="C68" s="44" t="s">
        <v>181</v>
      </c>
      <c r="D68" s="44" t="s">
        <v>134</v>
      </c>
      <c r="E68" s="44" t="s">
        <v>129</v>
      </c>
      <c r="F68" s="44" t="s">
        <v>129</v>
      </c>
      <c r="G68" s="43"/>
      <c r="H68" s="70" t="s">
        <v>320</v>
      </c>
      <c r="I68" s="525">
        <f>+I69</f>
        <v>623875573</v>
      </c>
      <c r="J68" s="525">
        <f t="shared" si="34"/>
        <v>620295093.20000005</v>
      </c>
      <c r="K68" s="525">
        <f t="shared" si="34"/>
        <v>272712026</v>
      </c>
      <c r="L68" s="525">
        <f t="shared" si="34"/>
        <v>269372556</v>
      </c>
      <c r="M68" s="525">
        <f t="shared" si="34"/>
        <v>0</v>
      </c>
      <c r="N68" s="525">
        <f t="shared" si="34"/>
        <v>0</v>
      </c>
      <c r="O68" s="525">
        <f t="shared" si="34"/>
        <v>0</v>
      </c>
      <c r="P68" s="525">
        <f t="shared" si="34"/>
        <v>0</v>
      </c>
      <c r="Q68" s="525">
        <f t="shared" si="34"/>
        <v>0</v>
      </c>
      <c r="R68" s="525">
        <f t="shared" si="34"/>
        <v>0</v>
      </c>
      <c r="S68" s="525">
        <f t="shared" si="34"/>
        <v>0</v>
      </c>
      <c r="T68" s="525">
        <f t="shared" si="34"/>
        <v>0</v>
      </c>
      <c r="U68" s="525">
        <f t="shared" si="34"/>
        <v>0</v>
      </c>
      <c r="V68" s="525">
        <f t="shared" si="34"/>
        <v>0</v>
      </c>
      <c r="W68" s="525">
        <f t="shared" si="34"/>
        <v>0</v>
      </c>
      <c r="X68" s="525">
        <f t="shared" si="34"/>
        <v>0</v>
      </c>
      <c r="Y68" s="525">
        <f t="shared" si="34"/>
        <v>623875573</v>
      </c>
      <c r="Z68" s="525">
        <f t="shared" si="34"/>
        <v>620295093.20000005</v>
      </c>
      <c r="AA68" s="525">
        <f t="shared" si="34"/>
        <v>272712026</v>
      </c>
      <c r="AB68" s="525">
        <f t="shared" si="34"/>
        <v>269372556</v>
      </c>
      <c r="AC68" s="37"/>
    </row>
    <row r="69" spans="1:29" ht="16.5" thickTop="1" thickBot="1" x14ac:dyDescent="0.3">
      <c r="A69" s="43">
        <v>2</v>
      </c>
      <c r="B69" s="43" t="s">
        <v>139</v>
      </c>
      <c r="C69" s="44" t="s">
        <v>181</v>
      </c>
      <c r="D69" s="44" t="s">
        <v>134</v>
      </c>
      <c r="E69" s="44" t="s">
        <v>129</v>
      </c>
      <c r="F69" s="44" t="s">
        <v>129</v>
      </c>
      <c r="G69" s="44" t="s">
        <v>129</v>
      </c>
      <c r="H69" s="70" t="s">
        <v>321</v>
      </c>
      <c r="I69" s="525">
        <v>623875573</v>
      </c>
      <c r="J69" s="525">
        <v>620295093.20000005</v>
      </c>
      <c r="K69" s="525">
        <v>272712026</v>
      </c>
      <c r="L69" s="525">
        <v>269372556</v>
      </c>
      <c r="M69" s="525"/>
      <c r="N69" s="525"/>
      <c r="O69" s="525"/>
      <c r="P69" s="525"/>
      <c r="Q69" s="525"/>
      <c r="R69" s="525"/>
      <c r="S69" s="525"/>
      <c r="T69" s="525"/>
      <c r="U69" s="525"/>
      <c r="V69" s="525"/>
      <c r="W69" s="525"/>
      <c r="X69" s="525"/>
      <c r="Y69" s="525">
        <f t="shared" ref="Y69:AB69" si="35">+I69+M69+Q69+U69</f>
        <v>623875573</v>
      </c>
      <c r="Z69" s="525">
        <f t="shared" si="35"/>
        <v>620295093.20000005</v>
      </c>
      <c r="AA69" s="525">
        <f t="shared" si="35"/>
        <v>272712026</v>
      </c>
      <c r="AB69" s="525">
        <f t="shared" si="35"/>
        <v>269372556</v>
      </c>
      <c r="AC69" s="37"/>
    </row>
    <row r="70" spans="1:29" ht="16.5" thickTop="1" thickBot="1" x14ac:dyDescent="0.3">
      <c r="A70" s="58">
        <v>2</v>
      </c>
      <c r="B70" s="58" t="s">
        <v>139</v>
      </c>
      <c r="C70" s="58" t="s">
        <v>181</v>
      </c>
      <c r="D70" s="58" t="s">
        <v>139</v>
      </c>
      <c r="E70" s="58"/>
      <c r="F70" s="58"/>
      <c r="G70" s="58"/>
      <c r="H70" s="69" t="s">
        <v>1063</v>
      </c>
      <c r="I70" s="532">
        <f>+I71</f>
        <v>2842000000</v>
      </c>
      <c r="J70" s="532">
        <f t="shared" ref="J70:AB72" si="36">+J71</f>
        <v>2513740137</v>
      </c>
      <c r="K70" s="532">
        <f t="shared" si="36"/>
        <v>1959280320</v>
      </c>
      <c r="L70" s="532">
        <f t="shared" si="36"/>
        <v>1947693529</v>
      </c>
      <c r="M70" s="532">
        <f t="shared" si="36"/>
        <v>0</v>
      </c>
      <c r="N70" s="532">
        <f t="shared" si="36"/>
        <v>0</v>
      </c>
      <c r="O70" s="532">
        <f t="shared" si="36"/>
        <v>0</v>
      </c>
      <c r="P70" s="532">
        <f t="shared" si="36"/>
        <v>0</v>
      </c>
      <c r="Q70" s="532">
        <f t="shared" si="36"/>
        <v>0</v>
      </c>
      <c r="R70" s="532">
        <f t="shared" si="36"/>
        <v>0</v>
      </c>
      <c r="S70" s="532">
        <f t="shared" si="36"/>
        <v>0</v>
      </c>
      <c r="T70" s="532">
        <f t="shared" si="36"/>
        <v>0</v>
      </c>
      <c r="U70" s="532">
        <f t="shared" si="36"/>
        <v>0</v>
      </c>
      <c r="V70" s="532">
        <f t="shared" si="36"/>
        <v>0</v>
      </c>
      <c r="W70" s="532">
        <f t="shared" si="36"/>
        <v>0</v>
      </c>
      <c r="X70" s="532">
        <f t="shared" si="36"/>
        <v>0</v>
      </c>
      <c r="Y70" s="532">
        <f t="shared" si="36"/>
        <v>2842000000</v>
      </c>
      <c r="Z70" s="532">
        <f t="shared" si="36"/>
        <v>2513740137</v>
      </c>
      <c r="AA70" s="532">
        <f t="shared" si="36"/>
        <v>1959280320</v>
      </c>
      <c r="AB70" s="532">
        <f t="shared" si="36"/>
        <v>1947693529</v>
      </c>
      <c r="AC70" s="37"/>
    </row>
    <row r="71" spans="1:29" ht="16.5" thickTop="1" thickBot="1" x14ac:dyDescent="0.3">
      <c r="A71" s="58">
        <v>3</v>
      </c>
      <c r="B71" s="58" t="s">
        <v>139</v>
      </c>
      <c r="C71" s="58" t="s">
        <v>181</v>
      </c>
      <c r="D71" s="58" t="s">
        <v>139</v>
      </c>
      <c r="E71" s="58" t="s">
        <v>129</v>
      </c>
      <c r="F71" s="58"/>
      <c r="G71" s="58"/>
      <c r="H71" s="69" t="s">
        <v>319</v>
      </c>
      <c r="I71" s="532">
        <f>+I72</f>
        <v>2842000000</v>
      </c>
      <c r="J71" s="532">
        <f t="shared" si="36"/>
        <v>2513740137</v>
      </c>
      <c r="K71" s="532">
        <f t="shared" si="36"/>
        <v>1959280320</v>
      </c>
      <c r="L71" s="532">
        <f t="shared" si="36"/>
        <v>1947693529</v>
      </c>
      <c r="M71" s="532">
        <f t="shared" si="36"/>
        <v>0</v>
      </c>
      <c r="N71" s="532">
        <f t="shared" si="36"/>
        <v>0</v>
      </c>
      <c r="O71" s="532">
        <f t="shared" si="36"/>
        <v>0</v>
      </c>
      <c r="P71" s="532">
        <f t="shared" si="36"/>
        <v>0</v>
      </c>
      <c r="Q71" s="532">
        <f t="shared" si="36"/>
        <v>0</v>
      </c>
      <c r="R71" s="532">
        <f t="shared" si="36"/>
        <v>0</v>
      </c>
      <c r="S71" s="532">
        <f t="shared" si="36"/>
        <v>0</v>
      </c>
      <c r="T71" s="532">
        <f t="shared" si="36"/>
        <v>0</v>
      </c>
      <c r="U71" s="532">
        <f t="shared" si="36"/>
        <v>0</v>
      </c>
      <c r="V71" s="532">
        <f t="shared" si="36"/>
        <v>0</v>
      </c>
      <c r="W71" s="532">
        <f t="shared" si="36"/>
        <v>0</v>
      </c>
      <c r="X71" s="532">
        <f t="shared" si="36"/>
        <v>0</v>
      </c>
      <c r="Y71" s="532">
        <f t="shared" si="36"/>
        <v>2842000000</v>
      </c>
      <c r="Z71" s="532">
        <f t="shared" si="36"/>
        <v>2513740137</v>
      </c>
      <c r="AA71" s="532">
        <f t="shared" si="36"/>
        <v>1959280320</v>
      </c>
      <c r="AB71" s="532">
        <f t="shared" si="36"/>
        <v>1947693529</v>
      </c>
      <c r="AC71" s="37"/>
    </row>
    <row r="72" spans="1:29" ht="16.5" thickTop="1" thickBot="1" x14ac:dyDescent="0.3">
      <c r="A72" s="43">
        <v>2</v>
      </c>
      <c r="B72" s="43" t="s">
        <v>139</v>
      </c>
      <c r="C72" s="44" t="s">
        <v>181</v>
      </c>
      <c r="D72" s="44" t="s">
        <v>139</v>
      </c>
      <c r="E72" s="44" t="s">
        <v>129</v>
      </c>
      <c r="F72" s="44" t="s">
        <v>129</v>
      </c>
      <c r="G72" s="43"/>
      <c r="H72" s="70" t="s">
        <v>320</v>
      </c>
      <c r="I72" s="525">
        <f>+I73</f>
        <v>2842000000</v>
      </c>
      <c r="J72" s="525">
        <f t="shared" si="36"/>
        <v>2513740137</v>
      </c>
      <c r="K72" s="525">
        <f t="shared" si="36"/>
        <v>1959280320</v>
      </c>
      <c r="L72" s="525">
        <f t="shared" si="36"/>
        <v>1947693529</v>
      </c>
      <c r="M72" s="525">
        <f t="shared" si="36"/>
        <v>0</v>
      </c>
      <c r="N72" s="525">
        <f t="shared" si="36"/>
        <v>0</v>
      </c>
      <c r="O72" s="525">
        <f t="shared" si="36"/>
        <v>0</v>
      </c>
      <c r="P72" s="525">
        <f t="shared" si="36"/>
        <v>0</v>
      </c>
      <c r="Q72" s="525">
        <f t="shared" si="36"/>
        <v>0</v>
      </c>
      <c r="R72" s="525">
        <f t="shared" si="36"/>
        <v>0</v>
      </c>
      <c r="S72" s="525">
        <f t="shared" si="36"/>
        <v>0</v>
      </c>
      <c r="T72" s="525">
        <f t="shared" si="36"/>
        <v>0</v>
      </c>
      <c r="U72" s="525">
        <f t="shared" si="36"/>
        <v>0</v>
      </c>
      <c r="V72" s="525">
        <f t="shared" si="36"/>
        <v>0</v>
      </c>
      <c r="W72" s="525">
        <f t="shared" si="36"/>
        <v>0</v>
      </c>
      <c r="X72" s="525">
        <f t="shared" si="36"/>
        <v>0</v>
      </c>
      <c r="Y72" s="525">
        <f t="shared" si="36"/>
        <v>2842000000</v>
      </c>
      <c r="Z72" s="525">
        <f t="shared" si="36"/>
        <v>2513740137</v>
      </c>
      <c r="AA72" s="525">
        <f t="shared" si="36"/>
        <v>1959280320</v>
      </c>
      <c r="AB72" s="525">
        <f t="shared" si="36"/>
        <v>1947693529</v>
      </c>
      <c r="AC72" s="37"/>
    </row>
    <row r="73" spans="1:29" ht="16.5" thickTop="1" thickBot="1" x14ac:dyDescent="0.3">
      <c r="A73" s="43">
        <v>2</v>
      </c>
      <c r="B73" s="43" t="s">
        <v>139</v>
      </c>
      <c r="C73" s="44" t="s">
        <v>181</v>
      </c>
      <c r="D73" s="44" t="s">
        <v>139</v>
      </c>
      <c r="E73" s="44" t="s">
        <v>129</v>
      </c>
      <c r="F73" s="44" t="s">
        <v>129</v>
      </c>
      <c r="G73" s="44" t="s">
        <v>129</v>
      </c>
      <c r="H73" s="70" t="s">
        <v>321</v>
      </c>
      <c r="I73" s="525">
        <v>2842000000</v>
      </c>
      <c r="J73" s="525">
        <v>2513740137</v>
      </c>
      <c r="K73" s="525">
        <v>1959280320</v>
      </c>
      <c r="L73" s="525">
        <v>1947693529</v>
      </c>
      <c r="M73" s="525"/>
      <c r="N73" s="525"/>
      <c r="O73" s="525"/>
      <c r="P73" s="525"/>
      <c r="Q73" s="525"/>
      <c r="R73" s="525"/>
      <c r="S73" s="525"/>
      <c r="T73" s="525"/>
      <c r="U73" s="525"/>
      <c r="V73" s="525"/>
      <c r="W73" s="525"/>
      <c r="X73" s="525"/>
      <c r="Y73" s="525">
        <f t="shared" ref="Y73:AB73" si="37">+I73+M73+Q73+U73</f>
        <v>2842000000</v>
      </c>
      <c r="Z73" s="525">
        <f t="shared" si="37"/>
        <v>2513740137</v>
      </c>
      <c r="AA73" s="525">
        <f t="shared" si="37"/>
        <v>1959280320</v>
      </c>
      <c r="AB73" s="525">
        <f t="shared" si="37"/>
        <v>1947693529</v>
      </c>
      <c r="AC73" s="37"/>
    </row>
    <row r="74" spans="1:29" ht="16.5" thickTop="1" thickBot="1" x14ac:dyDescent="0.3">
      <c r="A74" s="67">
        <v>2</v>
      </c>
      <c r="B74" s="38" t="s">
        <v>139</v>
      </c>
      <c r="C74" s="38" t="s">
        <v>182</v>
      </c>
      <c r="D74" s="38"/>
      <c r="E74" s="67"/>
      <c r="F74" s="67"/>
      <c r="G74" s="67"/>
      <c r="H74" s="68" t="s">
        <v>1064</v>
      </c>
      <c r="I74" s="531">
        <f>+I75+I79+I83+I87</f>
        <v>5430000000</v>
      </c>
      <c r="J74" s="531">
        <f t="shared" ref="J74:AB74" si="38">+J75+J79+J83+J87</f>
        <v>5358674824.6800003</v>
      </c>
      <c r="K74" s="531">
        <f t="shared" si="38"/>
        <v>4196895217</v>
      </c>
      <c r="L74" s="531">
        <f t="shared" si="38"/>
        <v>4049483030</v>
      </c>
      <c r="M74" s="531">
        <f t="shared" si="38"/>
        <v>0</v>
      </c>
      <c r="N74" s="531">
        <f t="shared" si="38"/>
        <v>0</v>
      </c>
      <c r="O74" s="531">
        <f t="shared" si="38"/>
        <v>0</v>
      </c>
      <c r="P74" s="531">
        <f t="shared" si="38"/>
        <v>0</v>
      </c>
      <c r="Q74" s="531">
        <f t="shared" si="38"/>
        <v>0</v>
      </c>
      <c r="R74" s="531">
        <f t="shared" si="38"/>
        <v>0</v>
      </c>
      <c r="S74" s="531">
        <f t="shared" si="38"/>
        <v>0</v>
      </c>
      <c r="T74" s="531">
        <f t="shared" si="38"/>
        <v>0</v>
      </c>
      <c r="U74" s="531">
        <f t="shared" si="38"/>
        <v>0</v>
      </c>
      <c r="V74" s="531">
        <f t="shared" si="38"/>
        <v>0</v>
      </c>
      <c r="W74" s="531">
        <f t="shared" si="38"/>
        <v>0</v>
      </c>
      <c r="X74" s="531">
        <f t="shared" si="38"/>
        <v>0</v>
      </c>
      <c r="Y74" s="531">
        <f t="shared" si="38"/>
        <v>5115000000</v>
      </c>
      <c r="Z74" s="531">
        <f t="shared" si="38"/>
        <v>5358674824.6800003</v>
      </c>
      <c r="AA74" s="531">
        <f t="shared" si="38"/>
        <v>4196895217</v>
      </c>
      <c r="AB74" s="531">
        <f t="shared" si="38"/>
        <v>4049483030</v>
      </c>
      <c r="AC74" s="37"/>
    </row>
    <row r="75" spans="1:29" ht="16.5" thickTop="1" thickBot="1" x14ac:dyDescent="0.3">
      <c r="A75" s="58">
        <v>2</v>
      </c>
      <c r="B75" s="58" t="s">
        <v>139</v>
      </c>
      <c r="C75" s="58" t="s">
        <v>182</v>
      </c>
      <c r="D75" s="58" t="s">
        <v>129</v>
      </c>
      <c r="E75" s="58"/>
      <c r="F75" s="58"/>
      <c r="G75" s="58"/>
      <c r="H75" s="69" t="s">
        <v>1065</v>
      </c>
      <c r="I75" s="532">
        <v>2320000000</v>
      </c>
      <c r="J75" s="532">
        <f t="shared" ref="J75:AB77" si="39">+J76</f>
        <v>2288896506</v>
      </c>
      <c r="K75" s="532">
        <f t="shared" si="39"/>
        <v>1918434383</v>
      </c>
      <c r="L75" s="532">
        <f t="shared" si="39"/>
        <v>1775672779</v>
      </c>
      <c r="M75" s="532">
        <f t="shared" si="39"/>
        <v>0</v>
      </c>
      <c r="N75" s="532">
        <f t="shared" si="39"/>
        <v>0</v>
      </c>
      <c r="O75" s="532">
        <f t="shared" si="39"/>
        <v>0</v>
      </c>
      <c r="P75" s="532">
        <f t="shared" si="39"/>
        <v>0</v>
      </c>
      <c r="Q75" s="532">
        <f t="shared" si="39"/>
        <v>0</v>
      </c>
      <c r="R75" s="532">
        <f t="shared" si="39"/>
        <v>0</v>
      </c>
      <c r="S75" s="532">
        <f t="shared" si="39"/>
        <v>0</v>
      </c>
      <c r="T75" s="532">
        <f t="shared" si="39"/>
        <v>0</v>
      </c>
      <c r="U75" s="532">
        <f t="shared" si="39"/>
        <v>0</v>
      </c>
      <c r="V75" s="532">
        <f t="shared" si="39"/>
        <v>0</v>
      </c>
      <c r="W75" s="532">
        <f t="shared" si="39"/>
        <v>0</v>
      </c>
      <c r="X75" s="532">
        <f t="shared" si="39"/>
        <v>0</v>
      </c>
      <c r="Y75" s="532">
        <f t="shared" si="39"/>
        <v>2270000000</v>
      </c>
      <c r="Z75" s="532">
        <f t="shared" si="39"/>
        <v>2288896506</v>
      </c>
      <c r="AA75" s="532">
        <f t="shared" si="39"/>
        <v>1918434383</v>
      </c>
      <c r="AB75" s="532">
        <f t="shared" si="39"/>
        <v>1775672779</v>
      </c>
      <c r="AC75" s="37"/>
    </row>
    <row r="76" spans="1:29" ht="16.5" thickTop="1" thickBot="1" x14ac:dyDescent="0.3">
      <c r="A76" s="58">
        <v>3</v>
      </c>
      <c r="B76" s="58" t="s">
        <v>139</v>
      </c>
      <c r="C76" s="58" t="s">
        <v>182</v>
      </c>
      <c r="D76" s="58" t="s">
        <v>129</v>
      </c>
      <c r="E76" s="58" t="s">
        <v>129</v>
      </c>
      <c r="F76" s="58"/>
      <c r="G76" s="58"/>
      <c r="H76" s="69" t="s">
        <v>319</v>
      </c>
      <c r="I76" s="532">
        <f>+I77</f>
        <v>2270000000</v>
      </c>
      <c r="J76" s="532">
        <f t="shared" si="39"/>
        <v>2288896506</v>
      </c>
      <c r="K76" s="532">
        <f t="shared" si="39"/>
        <v>1918434383</v>
      </c>
      <c r="L76" s="532">
        <f t="shared" si="39"/>
        <v>1775672779</v>
      </c>
      <c r="M76" s="532">
        <f t="shared" si="39"/>
        <v>0</v>
      </c>
      <c r="N76" s="532">
        <f t="shared" si="39"/>
        <v>0</v>
      </c>
      <c r="O76" s="532">
        <f t="shared" si="39"/>
        <v>0</v>
      </c>
      <c r="P76" s="532">
        <f t="shared" si="39"/>
        <v>0</v>
      </c>
      <c r="Q76" s="532">
        <f t="shared" si="39"/>
        <v>0</v>
      </c>
      <c r="R76" s="532">
        <f t="shared" si="39"/>
        <v>0</v>
      </c>
      <c r="S76" s="532">
        <f t="shared" si="39"/>
        <v>0</v>
      </c>
      <c r="T76" s="532">
        <f t="shared" si="39"/>
        <v>0</v>
      </c>
      <c r="U76" s="532">
        <f t="shared" si="39"/>
        <v>0</v>
      </c>
      <c r="V76" s="532">
        <f t="shared" si="39"/>
        <v>0</v>
      </c>
      <c r="W76" s="532">
        <f t="shared" si="39"/>
        <v>0</v>
      </c>
      <c r="X76" s="532">
        <f t="shared" si="39"/>
        <v>0</v>
      </c>
      <c r="Y76" s="532">
        <f t="shared" si="39"/>
        <v>2270000000</v>
      </c>
      <c r="Z76" s="532">
        <f t="shared" si="39"/>
        <v>2288896506</v>
      </c>
      <c r="AA76" s="532">
        <f t="shared" si="39"/>
        <v>1918434383</v>
      </c>
      <c r="AB76" s="532">
        <f t="shared" si="39"/>
        <v>1775672779</v>
      </c>
      <c r="AC76" s="37"/>
    </row>
    <row r="77" spans="1:29" ht="16.5" thickTop="1" thickBot="1" x14ac:dyDescent="0.3">
      <c r="A77" s="43">
        <v>2</v>
      </c>
      <c r="B77" s="43" t="s">
        <v>139</v>
      </c>
      <c r="C77" s="44" t="s">
        <v>182</v>
      </c>
      <c r="D77" s="44" t="s">
        <v>129</v>
      </c>
      <c r="E77" s="44" t="s">
        <v>129</v>
      </c>
      <c r="F77" s="44" t="s">
        <v>129</v>
      </c>
      <c r="G77" s="43"/>
      <c r="H77" s="70" t="s">
        <v>320</v>
      </c>
      <c r="I77" s="525">
        <f>+I78</f>
        <v>2270000000</v>
      </c>
      <c r="J77" s="525">
        <f t="shared" si="39"/>
        <v>2288896506</v>
      </c>
      <c r="K77" s="525">
        <f t="shared" si="39"/>
        <v>1918434383</v>
      </c>
      <c r="L77" s="525">
        <f t="shared" si="39"/>
        <v>1775672779</v>
      </c>
      <c r="M77" s="525">
        <f t="shared" si="39"/>
        <v>0</v>
      </c>
      <c r="N77" s="525">
        <f t="shared" si="39"/>
        <v>0</v>
      </c>
      <c r="O77" s="525">
        <f t="shared" si="39"/>
        <v>0</v>
      </c>
      <c r="P77" s="525">
        <f t="shared" si="39"/>
        <v>0</v>
      </c>
      <c r="Q77" s="525">
        <f t="shared" si="39"/>
        <v>0</v>
      </c>
      <c r="R77" s="525">
        <f t="shared" si="39"/>
        <v>0</v>
      </c>
      <c r="S77" s="525">
        <f t="shared" si="39"/>
        <v>0</v>
      </c>
      <c r="T77" s="525">
        <f t="shared" si="39"/>
        <v>0</v>
      </c>
      <c r="U77" s="525">
        <f t="shared" si="39"/>
        <v>0</v>
      </c>
      <c r="V77" s="525">
        <f t="shared" si="39"/>
        <v>0</v>
      </c>
      <c r="W77" s="525">
        <f t="shared" si="39"/>
        <v>0</v>
      </c>
      <c r="X77" s="525">
        <f t="shared" si="39"/>
        <v>0</v>
      </c>
      <c r="Y77" s="525">
        <f t="shared" si="39"/>
        <v>2270000000</v>
      </c>
      <c r="Z77" s="525">
        <f t="shared" si="39"/>
        <v>2288896506</v>
      </c>
      <c r="AA77" s="525">
        <f t="shared" si="39"/>
        <v>1918434383</v>
      </c>
      <c r="AB77" s="525">
        <f t="shared" si="39"/>
        <v>1775672779</v>
      </c>
      <c r="AC77" s="37"/>
    </row>
    <row r="78" spans="1:29" ht="16.5" thickTop="1" thickBot="1" x14ac:dyDescent="0.3">
      <c r="A78" s="43">
        <v>2</v>
      </c>
      <c r="B78" s="43" t="s">
        <v>139</v>
      </c>
      <c r="C78" s="43" t="s">
        <v>182</v>
      </c>
      <c r="D78" s="43" t="s">
        <v>129</v>
      </c>
      <c r="E78" s="44" t="s">
        <v>129</v>
      </c>
      <c r="F78" s="44" t="s">
        <v>129</v>
      </c>
      <c r="G78" s="44" t="s">
        <v>129</v>
      </c>
      <c r="H78" s="70" t="s">
        <v>321</v>
      </c>
      <c r="I78" s="525">
        <v>2270000000</v>
      </c>
      <c r="J78" s="525">
        <v>2288896506</v>
      </c>
      <c r="K78" s="525">
        <v>1918434383</v>
      </c>
      <c r="L78" s="525">
        <v>1775672779</v>
      </c>
      <c r="M78" s="525"/>
      <c r="N78" s="525"/>
      <c r="O78" s="525"/>
      <c r="P78" s="525"/>
      <c r="Q78" s="525"/>
      <c r="R78" s="525"/>
      <c r="S78" s="525"/>
      <c r="T78" s="525"/>
      <c r="U78" s="525"/>
      <c r="V78" s="525"/>
      <c r="W78" s="525"/>
      <c r="X78" s="525"/>
      <c r="Y78" s="525">
        <f t="shared" ref="Y78:AB78" si="40">+I78+M78+Q78+U78</f>
        <v>2270000000</v>
      </c>
      <c r="Z78" s="525">
        <f t="shared" si="40"/>
        <v>2288896506</v>
      </c>
      <c r="AA78" s="525">
        <f t="shared" si="40"/>
        <v>1918434383</v>
      </c>
      <c r="AB78" s="525">
        <f t="shared" si="40"/>
        <v>1775672779</v>
      </c>
      <c r="AC78" s="37"/>
    </row>
    <row r="79" spans="1:29" ht="16.5" thickTop="1" thickBot="1" x14ac:dyDescent="0.3">
      <c r="A79" s="58">
        <v>2</v>
      </c>
      <c r="B79" s="58" t="s">
        <v>139</v>
      </c>
      <c r="C79" s="58" t="s">
        <v>182</v>
      </c>
      <c r="D79" s="58" t="s">
        <v>134</v>
      </c>
      <c r="E79" s="58"/>
      <c r="F79" s="58"/>
      <c r="G79" s="58"/>
      <c r="H79" s="69" t="s">
        <v>1066</v>
      </c>
      <c r="I79" s="532">
        <v>1485000000</v>
      </c>
      <c r="J79" s="532">
        <f t="shared" ref="J79:AB81" si="41">+J80</f>
        <v>1463313971.6800001</v>
      </c>
      <c r="K79" s="532">
        <f t="shared" si="41"/>
        <v>1300268561</v>
      </c>
      <c r="L79" s="532">
        <f t="shared" si="41"/>
        <v>1299620076</v>
      </c>
      <c r="M79" s="532">
        <f t="shared" si="41"/>
        <v>0</v>
      </c>
      <c r="N79" s="532">
        <f t="shared" si="41"/>
        <v>0</v>
      </c>
      <c r="O79" s="532">
        <f t="shared" si="41"/>
        <v>0</v>
      </c>
      <c r="P79" s="532">
        <f t="shared" si="41"/>
        <v>0</v>
      </c>
      <c r="Q79" s="532">
        <f t="shared" si="41"/>
        <v>0</v>
      </c>
      <c r="R79" s="532">
        <f t="shared" si="41"/>
        <v>0</v>
      </c>
      <c r="S79" s="532">
        <f t="shared" si="41"/>
        <v>0</v>
      </c>
      <c r="T79" s="532">
        <f t="shared" si="41"/>
        <v>0</v>
      </c>
      <c r="U79" s="532">
        <f t="shared" si="41"/>
        <v>0</v>
      </c>
      <c r="V79" s="532">
        <f t="shared" si="41"/>
        <v>0</v>
      </c>
      <c r="W79" s="532">
        <f t="shared" si="41"/>
        <v>0</v>
      </c>
      <c r="X79" s="532">
        <f t="shared" si="41"/>
        <v>0</v>
      </c>
      <c r="Y79" s="532">
        <f t="shared" si="41"/>
        <v>1220000000</v>
      </c>
      <c r="Z79" s="532">
        <f t="shared" si="41"/>
        <v>1463313971.6800001</v>
      </c>
      <c r="AA79" s="532">
        <f t="shared" si="41"/>
        <v>1300268561</v>
      </c>
      <c r="AB79" s="532">
        <f t="shared" si="41"/>
        <v>1299620076</v>
      </c>
      <c r="AC79" s="37"/>
    </row>
    <row r="80" spans="1:29" ht="16.5" thickTop="1" thickBot="1" x14ac:dyDescent="0.3">
      <c r="A80" s="58">
        <v>3</v>
      </c>
      <c r="B80" s="58" t="s">
        <v>139</v>
      </c>
      <c r="C80" s="58" t="s">
        <v>182</v>
      </c>
      <c r="D80" s="58" t="s">
        <v>134</v>
      </c>
      <c r="E80" s="58" t="s">
        <v>129</v>
      </c>
      <c r="F80" s="58"/>
      <c r="G80" s="58"/>
      <c r="H80" s="69" t="s">
        <v>319</v>
      </c>
      <c r="I80" s="532">
        <f>+I81</f>
        <v>1220000000</v>
      </c>
      <c r="J80" s="532">
        <f t="shared" si="41"/>
        <v>1463313971.6800001</v>
      </c>
      <c r="K80" s="532">
        <f t="shared" si="41"/>
        <v>1300268561</v>
      </c>
      <c r="L80" s="532">
        <f t="shared" si="41"/>
        <v>1299620076</v>
      </c>
      <c r="M80" s="532">
        <f t="shared" si="41"/>
        <v>0</v>
      </c>
      <c r="N80" s="532">
        <f t="shared" si="41"/>
        <v>0</v>
      </c>
      <c r="O80" s="532">
        <f t="shared" si="41"/>
        <v>0</v>
      </c>
      <c r="P80" s="532">
        <f t="shared" si="41"/>
        <v>0</v>
      </c>
      <c r="Q80" s="532">
        <f t="shared" si="41"/>
        <v>0</v>
      </c>
      <c r="R80" s="532">
        <f t="shared" si="41"/>
        <v>0</v>
      </c>
      <c r="S80" s="532">
        <f t="shared" si="41"/>
        <v>0</v>
      </c>
      <c r="T80" s="532">
        <f t="shared" si="41"/>
        <v>0</v>
      </c>
      <c r="U80" s="532">
        <f t="shared" si="41"/>
        <v>0</v>
      </c>
      <c r="V80" s="532">
        <f t="shared" si="41"/>
        <v>0</v>
      </c>
      <c r="W80" s="532">
        <f t="shared" si="41"/>
        <v>0</v>
      </c>
      <c r="X80" s="532">
        <f t="shared" si="41"/>
        <v>0</v>
      </c>
      <c r="Y80" s="532">
        <f t="shared" si="41"/>
        <v>1220000000</v>
      </c>
      <c r="Z80" s="532">
        <f t="shared" si="41"/>
        <v>1463313971.6800001</v>
      </c>
      <c r="AA80" s="532">
        <f t="shared" si="41"/>
        <v>1300268561</v>
      </c>
      <c r="AB80" s="532">
        <f t="shared" si="41"/>
        <v>1299620076</v>
      </c>
      <c r="AC80" s="37"/>
    </row>
    <row r="81" spans="1:29" ht="16.5" thickTop="1" thickBot="1" x14ac:dyDescent="0.3">
      <c r="A81" s="43">
        <v>2</v>
      </c>
      <c r="B81" s="43" t="s">
        <v>139</v>
      </c>
      <c r="C81" s="44" t="s">
        <v>182</v>
      </c>
      <c r="D81" s="44" t="s">
        <v>134</v>
      </c>
      <c r="E81" s="44" t="s">
        <v>129</v>
      </c>
      <c r="F81" s="44" t="s">
        <v>129</v>
      </c>
      <c r="G81" s="43"/>
      <c r="H81" s="70" t="s">
        <v>320</v>
      </c>
      <c r="I81" s="525">
        <f>+I82</f>
        <v>1220000000</v>
      </c>
      <c r="J81" s="525">
        <f t="shared" si="41"/>
        <v>1463313971.6800001</v>
      </c>
      <c r="K81" s="525">
        <f t="shared" si="41"/>
        <v>1300268561</v>
      </c>
      <c r="L81" s="525">
        <f t="shared" si="41"/>
        <v>1299620076</v>
      </c>
      <c r="M81" s="525">
        <f t="shared" si="41"/>
        <v>0</v>
      </c>
      <c r="N81" s="525">
        <f t="shared" si="41"/>
        <v>0</v>
      </c>
      <c r="O81" s="525">
        <f t="shared" si="41"/>
        <v>0</v>
      </c>
      <c r="P81" s="525">
        <f t="shared" si="41"/>
        <v>0</v>
      </c>
      <c r="Q81" s="525">
        <f t="shared" si="41"/>
        <v>0</v>
      </c>
      <c r="R81" s="525">
        <f t="shared" si="41"/>
        <v>0</v>
      </c>
      <c r="S81" s="525">
        <f t="shared" si="41"/>
        <v>0</v>
      </c>
      <c r="T81" s="525">
        <f t="shared" si="41"/>
        <v>0</v>
      </c>
      <c r="U81" s="525">
        <f t="shared" si="41"/>
        <v>0</v>
      </c>
      <c r="V81" s="525">
        <f t="shared" si="41"/>
        <v>0</v>
      </c>
      <c r="W81" s="525">
        <f t="shared" si="41"/>
        <v>0</v>
      </c>
      <c r="X81" s="525">
        <f t="shared" si="41"/>
        <v>0</v>
      </c>
      <c r="Y81" s="525">
        <f t="shared" si="41"/>
        <v>1220000000</v>
      </c>
      <c r="Z81" s="525">
        <f t="shared" si="41"/>
        <v>1463313971.6800001</v>
      </c>
      <c r="AA81" s="525">
        <f t="shared" si="41"/>
        <v>1300268561</v>
      </c>
      <c r="AB81" s="525">
        <f t="shared" si="41"/>
        <v>1299620076</v>
      </c>
      <c r="AC81" s="37"/>
    </row>
    <row r="82" spans="1:29" ht="16.5" thickTop="1" thickBot="1" x14ac:dyDescent="0.3">
      <c r="A82" s="43">
        <v>2</v>
      </c>
      <c r="B82" s="43" t="s">
        <v>139</v>
      </c>
      <c r="C82" s="44" t="s">
        <v>182</v>
      </c>
      <c r="D82" s="44" t="s">
        <v>134</v>
      </c>
      <c r="E82" s="44" t="s">
        <v>129</v>
      </c>
      <c r="F82" s="44" t="s">
        <v>129</v>
      </c>
      <c r="G82" s="44" t="s">
        <v>129</v>
      </c>
      <c r="H82" s="70" t="s">
        <v>321</v>
      </c>
      <c r="I82" s="525">
        <v>1220000000</v>
      </c>
      <c r="J82" s="525">
        <v>1463313971.6800001</v>
      </c>
      <c r="K82" s="525">
        <v>1300268561</v>
      </c>
      <c r="L82" s="525">
        <v>1299620076</v>
      </c>
      <c r="M82" s="525"/>
      <c r="N82" s="525"/>
      <c r="O82" s="525"/>
      <c r="P82" s="525"/>
      <c r="Q82" s="525"/>
      <c r="R82" s="525"/>
      <c r="S82" s="525"/>
      <c r="T82" s="525"/>
      <c r="U82" s="525"/>
      <c r="V82" s="525"/>
      <c r="W82" s="525"/>
      <c r="X82" s="525"/>
      <c r="Y82" s="525">
        <f t="shared" ref="Y82:AB82" si="42">+I82+M82+Q82+U82</f>
        <v>1220000000</v>
      </c>
      <c r="Z82" s="525">
        <f t="shared" si="42"/>
        <v>1463313971.6800001</v>
      </c>
      <c r="AA82" s="525">
        <f t="shared" si="42"/>
        <v>1300268561</v>
      </c>
      <c r="AB82" s="525">
        <f t="shared" si="42"/>
        <v>1299620076</v>
      </c>
      <c r="AC82" s="37"/>
    </row>
    <row r="83" spans="1:29" ht="16.5" thickTop="1" thickBot="1" x14ac:dyDescent="0.3">
      <c r="A83" s="58">
        <v>2</v>
      </c>
      <c r="B83" s="58" t="s">
        <v>139</v>
      </c>
      <c r="C83" s="58" t="s">
        <v>182</v>
      </c>
      <c r="D83" s="58" t="s">
        <v>139</v>
      </c>
      <c r="E83" s="58"/>
      <c r="F83" s="58"/>
      <c r="G83" s="58"/>
      <c r="H83" s="69" t="s">
        <v>1067</v>
      </c>
      <c r="I83" s="532">
        <f>+I84</f>
        <v>600000000</v>
      </c>
      <c r="J83" s="532">
        <f t="shared" ref="J83:AB85" si="43">+J84</f>
        <v>592541079</v>
      </c>
      <c r="K83" s="532">
        <f t="shared" si="43"/>
        <v>415652749</v>
      </c>
      <c r="L83" s="532">
        <f t="shared" si="43"/>
        <v>415652749</v>
      </c>
      <c r="M83" s="532">
        <f t="shared" si="43"/>
        <v>0</v>
      </c>
      <c r="N83" s="532">
        <f t="shared" si="43"/>
        <v>0</v>
      </c>
      <c r="O83" s="532">
        <f t="shared" si="43"/>
        <v>0</v>
      </c>
      <c r="P83" s="532">
        <f t="shared" si="43"/>
        <v>0</v>
      </c>
      <c r="Q83" s="532">
        <f t="shared" si="43"/>
        <v>0</v>
      </c>
      <c r="R83" s="532">
        <f t="shared" si="43"/>
        <v>0</v>
      </c>
      <c r="S83" s="532">
        <f t="shared" si="43"/>
        <v>0</v>
      </c>
      <c r="T83" s="532">
        <f t="shared" si="43"/>
        <v>0</v>
      </c>
      <c r="U83" s="532">
        <f t="shared" si="43"/>
        <v>0</v>
      </c>
      <c r="V83" s="532">
        <f t="shared" si="43"/>
        <v>0</v>
      </c>
      <c r="W83" s="532">
        <f t="shared" si="43"/>
        <v>0</v>
      </c>
      <c r="X83" s="532">
        <f t="shared" si="43"/>
        <v>0</v>
      </c>
      <c r="Y83" s="532">
        <f t="shared" si="43"/>
        <v>600000000</v>
      </c>
      <c r="Z83" s="532">
        <f t="shared" si="43"/>
        <v>592541079</v>
      </c>
      <c r="AA83" s="532">
        <f t="shared" si="43"/>
        <v>415652749</v>
      </c>
      <c r="AB83" s="532">
        <f t="shared" si="43"/>
        <v>415652749</v>
      </c>
      <c r="AC83" s="37"/>
    </row>
    <row r="84" spans="1:29" ht="16.5" thickTop="1" thickBot="1" x14ac:dyDescent="0.3">
      <c r="A84" s="58">
        <v>3</v>
      </c>
      <c r="B84" s="58" t="s">
        <v>139</v>
      </c>
      <c r="C84" s="58" t="s">
        <v>182</v>
      </c>
      <c r="D84" s="58" t="s">
        <v>139</v>
      </c>
      <c r="E84" s="58" t="s">
        <v>129</v>
      </c>
      <c r="F84" s="58"/>
      <c r="G84" s="58"/>
      <c r="H84" s="69" t="s">
        <v>319</v>
      </c>
      <c r="I84" s="532">
        <f>+I85</f>
        <v>600000000</v>
      </c>
      <c r="J84" s="532">
        <f t="shared" si="43"/>
        <v>592541079</v>
      </c>
      <c r="K84" s="532">
        <f t="shared" si="43"/>
        <v>415652749</v>
      </c>
      <c r="L84" s="532">
        <f t="shared" si="43"/>
        <v>415652749</v>
      </c>
      <c r="M84" s="532">
        <f t="shared" si="43"/>
        <v>0</v>
      </c>
      <c r="N84" s="532">
        <f t="shared" si="43"/>
        <v>0</v>
      </c>
      <c r="O84" s="532">
        <f t="shared" si="43"/>
        <v>0</v>
      </c>
      <c r="P84" s="532">
        <f t="shared" si="43"/>
        <v>0</v>
      </c>
      <c r="Q84" s="532">
        <f t="shared" si="43"/>
        <v>0</v>
      </c>
      <c r="R84" s="532">
        <f t="shared" si="43"/>
        <v>0</v>
      </c>
      <c r="S84" s="532">
        <f t="shared" si="43"/>
        <v>0</v>
      </c>
      <c r="T84" s="532">
        <f t="shared" si="43"/>
        <v>0</v>
      </c>
      <c r="U84" s="532">
        <f t="shared" si="43"/>
        <v>0</v>
      </c>
      <c r="V84" s="532">
        <f t="shared" si="43"/>
        <v>0</v>
      </c>
      <c r="W84" s="532">
        <f t="shared" si="43"/>
        <v>0</v>
      </c>
      <c r="X84" s="532">
        <f t="shared" si="43"/>
        <v>0</v>
      </c>
      <c r="Y84" s="532">
        <f t="shared" si="43"/>
        <v>600000000</v>
      </c>
      <c r="Z84" s="532">
        <f t="shared" si="43"/>
        <v>592541079</v>
      </c>
      <c r="AA84" s="532">
        <f t="shared" si="43"/>
        <v>415652749</v>
      </c>
      <c r="AB84" s="532">
        <f t="shared" si="43"/>
        <v>415652749</v>
      </c>
      <c r="AC84" s="37"/>
    </row>
    <row r="85" spans="1:29" ht="16.5" thickTop="1" thickBot="1" x14ac:dyDescent="0.3">
      <c r="A85" s="43">
        <v>2</v>
      </c>
      <c r="B85" s="43" t="s">
        <v>139</v>
      </c>
      <c r="C85" s="44" t="s">
        <v>182</v>
      </c>
      <c r="D85" s="44" t="s">
        <v>139</v>
      </c>
      <c r="E85" s="44" t="s">
        <v>129</v>
      </c>
      <c r="F85" s="44" t="s">
        <v>129</v>
      </c>
      <c r="G85" s="43"/>
      <c r="H85" s="70" t="s">
        <v>320</v>
      </c>
      <c r="I85" s="525">
        <f>+I86</f>
        <v>600000000</v>
      </c>
      <c r="J85" s="525">
        <f t="shared" si="43"/>
        <v>592541079</v>
      </c>
      <c r="K85" s="525">
        <f t="shared" si="43"/>
        <v>415652749</v>
      </c>
      <c r="L85" s="525">
        <f t="shared" si="43"/>
        <v>415652749</v>
      </c>
      <c r="M85" s="525">
        <f t="shared" si="43"/>
        <v>0</v>
      </c>
      <c r="N85" s="525">
        <f t="shared" si="43"/>
        <v>0</v>
      </c>
      <c r="O85" s="525">
        <f t="shared" si="43"/>
        <v>0</v>
      </c>
      <c r="P85" s="525">
        <f t="shared" si="43"/>
        <v>0</v>
      </c>
      <c r="Q85" s="525">
        <f t="shared" si="43"/>
        <v>0</v>
      </c>
      <c r="R85" s="525">
        <f t="shared" si="43"/>
        <v>0</v>
      </c>
      <c r="S85" s="525">
        <f t="shared" si="43"/>
        <v>0</v>
      </c>
      <c r="T85" s="525">
        <f t="shared" si="43"/>
        <v>0</v>
      </c>
      <c r="U85" s="525">
        <f t="shared" si="43"/>
        <v>0</v>
      </c>
      <c r="V85" s="525">
        <f t="shared" si="43"/>
        <v>0</v>
      </c>
      <c r="W85" s="525">
        <f t="shared" si="43"/>
        <v>0</v>
      </c>
      <c r="X85" s="525">
        <f t="shared" si="43"/>
        <v>0</v>
      </c>
      <c r="Y85" s="525">
        <f t="shared" si="43"/>
        <v>600000000</v>
      </c>
      <c r="Z85" s="525">
        <f t="shared" si="43"/>
        <v>592541079</v>
      </c>
      <c r="AA85" s="525">
        <f t="shared" si="43"/>
        <v>415652749</v>
      </c>
      <c r="AB85" s="525">
        <f t="shared" si="43"/>
        <v>415652749</v>
      </c>
      <c r="AC85" s="37"/>
    </row>
    <row r="86" spans="1:29" ht="16.5" thickTop="1" thickBot="1" x14ac:dyDescent="0.3">
      <c r="A86" s="43">
        <v>2</v>
      </c>
      <c r="B86" s="43" t="s">
        <v>139</v>
      </c>
      <c r="C86" s="44" t="s">
        <v>182</v>
      </c>
      <c r="D86" s="44" t="s">
        <v>139</v>
      </c>
      <c r="E86" s="44" t="s">
        <v>129</v>
      </c>
      <c r="F86" s="44" t="s">
        <v>129</v>
      </c>
      <c r="G86" s="44" t="s">
        <v>129</v>
      </c>
      <c r="H86" s="70" t="s">
        <v>321</v>
      </c>
      <c r="I86" s="525">
        <v>600000000</v>
      </c>
      <c r="J86" s="525">
        <v>592541079</v>
      </c>
      <c r="K86" s="525">
        <v>415652749</v>
      </c>
      <c r="L86" s="525">
        <v>415652749</v>
      </c>
      <c r="M86" s="525"/>
      <c r="N86" s="525"/>
      <c r="O86" s="525"/>
      <c r="P86" s="525"/>
      <c r="Q86" s="525"/>
      <c r="R86" s="525"/>
      <c r="S86" s="525"/>
      <c r="T86" s="525"/>
      <c r="U86" s="525"/>
      <c r="V86" s="525"/>
      <c r="W86" s="525"/>
      <c r="X86" s="525"/>
      <c r="Y86" s="525">
        <f t="shared" ref="Y86:AB87" si="44">+I86+M86+Q86+U86</f>
        <v>600000000</v>
      </c>
      <c r="Z86" s="525">
        <f t="shared" si="44"/>
        <v>592541079</v>
      </c>
      <c r="AA86" s="525">
        <f t="shared" si="44"/>
        <v>415652749</v>
      </c>
      <c r="AB86" s="525">
        <f t="shared" si="44"/>
        <v>415652749</v>
      </c>
      <c r="AC86" s="37"/>
    </row>
    <row r="87" spans="1:29" ht="16.5" thickTop="1" thickBot="1" x14ac:dyDescent="0.3">
      <c r="A87" s="58">
        <v>2</v>
      </c>
      <c r="B87" s="58" t="s">
        <v>139</v>
      </c>
      <c r="C87" s="58" t="s">
        <v>182</v>
      </c>
      <c r="D87" s="58" t="s">
        <v>140</v>
      </c>
      <c r="E87" s="58"/>
      <c r="F87" s="58"/>
      <c r="G87" s="58"/>
      <c r="H87" s="69" t="s">
        <v>1068</v>
      </c>
      <c r="I87" s="532">
        <f>+I88</f>
        <v>1025000000</v>
      </c>
      <c r="J87" s="532">
        <f t="shared" ref="J87:Z89" si="45">+J88</f>
        <v>1013923268</v>
      </c>
      <c r="K87" s="532">
        <f t="shared" si="45"/>
        <v>562539524</v>
      </c>
      <c r="L87" s="532">
        <f t="shared" si="45"/>
        <v>558537426</v>
      </c>
      <c r="M87" s="532">
        <f t="shared" si="45"/>
        <v>0</v>
      </c>
      <c r="N87" s="532">
        <f t="shared" si="45"/>
        <v>0</v>
      </c>
      <c r="O87" s="532">
        <f t="shared" si="45"/>
        <v>0</v>
      </c>
      <c r="P87" s="532">
        <f t="shared" si="45"/>
        <v>0</v>
      </c>
      <c r="Q87" s="532">
        <f t="shared" si="45"/>
        <v>0</v>
      </c>
      <c r="R87" s="532">
        <f t="shared" si="45"/>
        <v>0</v>
      </c>
      <c r="S87" s="532">
        <f t="shared" si="45"/>
        <v>0</v>
      </c>
      <c r="T87" s="532">
        <f t="shared" si="45"/>
        <v>0</v>
      </c>
      <c r="U87" s="532">
        <f t="shared" si="45"/>
        <v>0</v>
      </c>
      <c r="V87" s="532">
        <f t="shared" si="45"/>
        <v>0</v>
      </c>
      <c r="W87" s="532">
        <f t="shared" si="45"/>
        <v>0</v>
      </c>
      <c r="X87" s="532">
        <f t="shared" si="45"/>
        <v>0</v>
      </c>
      <c r="Y87" s="532">
        <f t="shared" si="45"/>
        <v>1025000000</v>
      </c>
      <c r="Z87" s="532">
        <f t="shared" si="45"/>
        <v>1013923268</v>
      </c>
      <c r="AA87" s="532">
        <f t="shared" si="44"/>
        <v>562539524</v>
      </c>
      <c r="AB87" s="532">
        <f t="shared" si="44"/>
        <v>558537426</v>
      </c>
      <c r="AC87" s="37"/>
    </row>
    <row r="88" spans="1:29" ht="16.5" thickTop="1" thickBot="1" x14ac:dyDescent="0.3">
      <c r="A88" s="58">
        <v>3</v>
      </c>
      <c r="B88" s="58" t="s">
        <v>139</v>
      </c>
      <c r="C88" s="58" t="s">
        <v>182</v>
      </c>
      <c r="D88" s="58" t="s">
        <v>140</v>
      </c>
      <c r="E88" s="58" t="s">
        <v>129</v>
      </c>
      <c r="F88" s="58"/>
      <c r="G88" s="58"/>
      <c r="H88" s="69" t="s">
        <v>319</v>
      </c>
      <c r="I88" s="532">
        <f>+I89</f>
        <v>1025000000</v>
      </c>
      <c r="J88" s="532">
        <f t="shared" si="45"/>
        <v>1013923268</v>
      </c>
      <c r="K88" s="532">
        <f t="shared" si="45"/>
        <v>562539524</v>
      </c>
      <c r="L88" s="532">
        <f t="shared" si="45"/>
        <v>558537426</v>
      </c>
      <c r="M88" s="532">
        <f t="shared" si="45"/>
        <v>0</v>
      </c>
      <c r="N88" s="532">
        <f t="shared" si="45"/>
        <v>0</v>
      </c>
      <c r="O88" s="532">
        <f t="shared" si="45"/>
        <v>0</v>
      </c>
      <c r="P88" s="532">
        <f t="shared" si="45"/>
        <v>0</v>
      </c>
      <c r="Q88" s="532">
        <f t="shared" si="45"/>
        <v>0</v>
      </c>
      <c r="R88" s="532">
        <f t="shared" si="45"/>
        <v>0</v>
      </c>
      <c r="S88" s="532">
        <f t="shared" si="45"/>
        <v>0</v>
      </c>
      <c r="T88" s="532">
        <f t="shared" si="45"/>
        <v>0</v>
      </c>
      <c r="U88" s="532">
        <f t="shared" si="45"/>
        <v>0</v>
      </c>
      <c r="V88" s="532">
        <f t="shared" si="45"/>
        <v>0</v>
      </c>
      <c r="W88" s="532">
        <f t="shared" si="45"/>
        <v>0</v>
      </c>
      <c r="X88" s="532">
        <f t="shared" si="45"/>
        <v>0</v>
      </c>
      <c r="Y88" s="532">
        <f t="shared" si="45"/>
        <v>1025000000</v>
      </c>
      <c r="Z88" s="532">
        <f t="shared" si="45"/>
        <v>1013923268</v>
      </c>
      <c r="AA88" s="532"/>
      <c r="AB88" s="532"/>
      <c r="AC88" s="37"/>
    </row>
    <row r="89" spans="1:29" ht="16.5" thickTop="1" thickBot="1" x14ac:dyDescent="0.3">
      <c r="A89" s="43">
        <v>2</v>
      </c>
      <c r="B89" s="43" t="s">
        <v>139</v>
      </c>
      <c r="C89" s="44" t="s">
        <v>182</v>
      </c>
      <c r="D89" s="44" t="s">
        <v>140</v>
      </c>
      <c r="E89" s="44" t="s">
        <v>129</v>
      </c>
      <c r="F89" s="44" t="s">
        <v>129</v>
      </c>
      <c r="G89" s="43"/>
      <c r="H89" s="70" t="s">
        <v>320</v>
      </c>
      <c r="I89" s="525">
        <f>+I90</f>
        <v>1025000000</v>
      </c>
      <c r="J89" s="525">
        <f t="shared" si="45"/>
        <v>1013923268</v>
      </c>
      <c r="K89" s="525">
        <f t="shared" si="45"/>
        <v>562539524</v>
      </c>
      <c r="L89" s="525">
        <f t="shared" si="45"/>
        <v>558537426</v>
      </c>
      <c r="M89" s="525">
        <f t="shared" si="45"/>
        <v>0</v>
      </c>
      <c r="N89" s="525">
        <f t="shared" si="45"/>
        <v>0</v>
      </c>
      <c r="O89" s="525">
        <f t="shared" si="45"/>
        <v>0</v>
      </c>
      <c r="P89" s="525">
        <f t="shared" si="45"/>
        <v>0</v>
      </c>
      <c r="Q89" s="525">
        <f t="shared" si="45"/>
        <v>0</v>
      </c>
      <c r="R89" s="525">
        <f t="shared" si="45"/>
        <v>0</v>
      </c>
      <c r="S89" s="525">
        <f t="shared" si="45"/>
        <v>0</v>
      </c>
      <c r="T89" s="525">
        <f t="shared" si="45"/>
        <v>0</v>
      </c>
      <c r="U89" s="525">
        <f t="shared" si="45"/>
        <v>0</v>
      </c>
      <c r="V89" s="525">
        <f t="shared" si="45"/>
        <v>0</v>
      </c>
      <c r="W89" s="525">
        <f t="shared" si="45"/>
        <v>0</v>
      </c>
      <c r="X89" s="525">
        <f t="shared" si="45"/>
        <v>0</v>
      </c>
      <c r="Y89" s="525">
        <f t="shared" si="45"/>
        <v>1025000000</v>
      </c>
      <c r="Z89" s="525">
        <f t="shared" si="45"/>
        <v>1013923268</v>
      </c>
      <c r="AA89" s="525">
        <f t="shared" ref="AA89:AB90" si="46">+K89+O89+S89+W89</f>
        <v>562539524</v>
      </c>
      <c r="AB89" s="525">
        <f t="shared" si="46"/>
        <v>558537426</v>
      </c>
      <c r="AC89" s="37"/>
    </row>
    <row r="90" spans="1:29" ht="16.5" thickTop="1" thickBot="1" x14ac:dyDescent="0.3">
      <c r="A90" s="43">
        <v>2</v>
      </c>
      <c r="B90" s="43" t="s">
        <v>139</v>
      </c>
      <c r="C90" s="44" t="s">
        <v>182</v>
      </c>
      <c r="D90" s="44" t="s">
        <v>140</v>
      </c>
      <c r="E90" s="44" t="s">
        <v>129</v>
      </c>
      <c r="F90" s="44" t="s">
        <v>129</v>
      </c>
      <c r="G90" s="44" t="s">
        <v>129</v>
      </c>
      <c r="H90" s="70" t="s">
        <v>321</v>
      </c>
      <c r="I90" s="525">
        <v>1025000000</v>
      </c>
      <c r="J90" s="525">
        <v>1013923268</v>
      </c>
      <c r="K90" s="525">
        <v>562539524</v>
      </c>
      <c r="L90" s="525">
        <v>558537426</v>
      </c>
      <c r="M90" s="525"/>
      <c r="N90" s="525"/>
      <c r="O90" s="525"/>
      <c r="P90" s="525"/>
      <c r="Q90" s="525"/>
      <c r="R90" s="525"/>
      <c r="S90" s="525"/>
      <c r="T90" s="525"/>
      <c r="U90" s="525"/>
      <c r="V90" s="525"/>
      <c r="W90" s="525"/>
      <c r="X90" s="525"/>
      <c r="Y90" s="525">
        <f t="shared" ref="Y90:Z90" si="47">+I90+M90+Q90+U90</f>
        <v>1025000000</v>
      </c>
      <c r="Z90" s="525">
        <f t="shared" si="47"/>
        <v>1013923268</v>
      </c>
      <c r="AA90" s="525">
        <f t="shared" si="46"/>
        <v>562539524</v>
      </c>
      <c r="AB90" s="525">
        <f t="shared" si="46"/>
        <v>558537426</v>
      </c>
      <c r="AC90" s="37"/>
    </row>
    <row r="91" spans="1:29" ht="16.5" thickTop="1" thickBot="1" x14ac:dyDescent="0.3">
      <c r="A91" s="67">
        <v>2</v>
      </c>
      <c r="B91" s="38" t="s">
        <v>139</v>
      </c>
      <c r="C91" s="38" t="s">
        <v>183</v>
      </c>
      <c r="D91" s="38"/>
      <c r="E91" s="67"/>
      <c r="F91" s="67"/>
      <c r="G91" s="67"/>
      <c r="H91" s="68" t="s">
        <v>1069</v>
      </c>
      <c r="I91" s="531">
        <f>+I92+I96+I100+I104+I108+I112+I116</f>
        <v>6022500000</v>
      </c>
      <c r="J91" s="531">
        <f t="shared" ref="J91:AB91" si="48">+J92+J96+J100+J104+J108+J112+J116</f>
        <v>5433305897.1400003</v>
      </c>
      <c r="K91" s="531">
        <f t="shared" si="48"/>
        <v>4158637205.3000002</v>
      </c>
      <c r="L91" s="531">
        <f t="shared" si="48"/>
        <v>3647782329.3000002</v>
      </c>
      <c r="M91" s="531">
        <f t="shared" si="48"/>
        <v>0</v>
      </c>
      <c r="N91" s="531">
        <f t="shared" si="48"/>
        <v>0</v>
      </c>
      <c r="O91" s="531">
        <f t="shared" si="48"/>
        <v>0</v>
      </c>
      <c r="P91" s="531">
        <f t="shared" si="48"/>
        <v>0</v>
      </c>
      <c r="Q91" s="531">
        <f t="shared" si="48"/>
        <v>0</v>
      </c>
      <c r="R91" s="531">
        <f t="shared" si="48"/>
        <v>0</v>
      </c>
      <c r="S91" s="531">
        <f t="shared" si="48"/>
        <v>0</v>
      </c>
      <c r="T91" s="531">
        <f t="shared" si="48"/>
        <v>0</v>
      </c>
      <c r="U91" s="531">
        <f t="shared" si="48"/>
        <v>0</v>
      </c>
      <c r="V91" s="531">
        <f t="shared" si="48"/>
        <v>0</v>
      </c>
      <c r="W91" s="531">
        <f t="shared" si="48"/>
        <v>0</v>
      </c>
      <c r="X91" s="531">
        <f t="shared" si="48"/>
        <v>0</v>
      </c>
      <c r="Y91" s="531">
        <f t="shared" si="48"/>
        <v>6022500000</v>
      </c>
      <c r="Z91" s="531">
        <f t="shared" si="48"/>
        <v>5433305897.1400003</v>
      </c>
      <c r="AA91" s="531">
        <f t="shared" si="48"/>
        <v>4158637205.3000002</v>
      </c>
      <c r="AB91" s="531">
        <f t="shared" si="48"/>
        <v>3647782329.3000002</v>
      </c>
      <c r="AC91" s="37"/>
    </row>
    <row r="92" spans="1:29" ht="16.5" thickTop="1" thickBot="1" x14ac:dyDescent="0.3">
      <c r="A92" s="58">
        <v>2</v>
      </c>
      <c r="B92" s="58" t="s">
        <v>139</v>
      </c>
      <c r="C92" s="58" t="s">
        <v>183</v>
      </c>
      <c r="D92" s="58" t="s">
        <v>129</v>
      </c>
      <c r="E92" s="58"/>
      <c r="F92" s="58"/>
      <c r="G92" s="58"/>
      <c r="H92" s="69" t="s">
        <v>1070</v>
      </c>
      <c r="I92" s="532">
        <f>+I93</f>
        <v>180000000</v>
      </c>
      <c r="J92" s="532">
        <f t="shared" ref="J92:Z94" si="49">+J93</f>
        <v>177204569.19999999</v>
      </c>
      <c r="K92" s="532">
        <f t="shared" si="49"/>
        <v>164176346</v>
      </c>
      <c r="L92" s="532">
        <f t="shared" si="49"/>
        <v>72186134</v>
      </c>
      <c r="M92" s="532">
        <f t="shared" si="49"/>
        <v>0</v>
      </c>
      <c r="N92" s="532">
        <f t="shared" si="49"/>
        <v>0</v>
      </c>
      <c r="O92" s="532">
        <f t="shared" si="49"/>
        <v>0</v>
      </c>
      <c r="P92" s="532">
        <f t="shared" si="49"/>
        <v>0</v>
      </c>
      <c r="Q92" s="532">
        <f t="shared" si="49"/>
        <v>0</v>
      </c>
      <c r="R92" s="532">
        <f t="shared" si="49"/>
        <v>0</v>
      </c>
      <c r="S92" s="532">
        <f t="shared" si="49"/>
        <v>0</v>
      </c>
      <c r="T92" s="532">
        <f t="shared" si="49"/>
        <v>0</v>
      </c>
      <c r="U92" s="532">
        <f t="shared" si="49"/>
        <v>0</v>
      </c>
      <c r="V92" s="532">
        <f t="shared" si="49"/>
        <v>0</v>
      </c>
      <c r="W92" s="532">
        <f t="shared" si="49"/>
        <v>0</v>
      </c>
      <c r="X92" s="532">
        <f t="shared" si="49"/>
        <v>0</v>
      </c>
      <c r="Y92" s="532">
        <f t="shared" si="49"/>
        <v>180000000</v>
      </c>
      <c r="Z92" s="532">
        <f t="shared" si="49"/>
        <v>177204569.19999999</v>
      </c>
      <c r="AA92" s="532">
        <f t="shared" ref="AA92:AB92" si="50">+K92+O92+S92+W92</f>
        <v>164176346</v>
      </c>
      <c r="AB92" s="532">
        <f t="shared" si="50"/>
        <v>72186134</v>
      </c>
      <c r="AC92" s="37"/>
    </row>
    <row r="93" spans="1:29" ht="16.5" thickTop="1" thickBot="1" x14ac:dyDescent="0.3">
      <c r="A93" s="58">
        <v>3</v>
      </c>
      <c r="B93" s="58" t="s">
        <v>139</v>
      </c>
      <c r="C93" s="58" t="s">
        <v>183</v>
      </c>
      <c r="D93" s="58" t="s">
        <v>129</v>
      </c>
      <c r="E93" s="58" t="s">
        <v>129</v>
      </c>
      <c r="F93" s="58"/>
      <c r="G93" s="58"/>
      <c r="H93" s="69" t="s">
        <v>319</v>
      </c>
      <c r="I93" s="532">
        <f>+I94</f>
        <v>180000000</v>
      </c>
      <c r="J93" s="532">
        <f t="shared" si="49"/>
        <v>177204569.19999999</v>
      </c>
      <c r="K93" s="532">
        <f t="shared" si="49"/>
        <v>164176346</v>
      </c>
      <c r="L93" s="532">
        <f t="shared" si="49"/>
        <v>72186134</v>
      </c>
      <c r="M93" s="532">
        <f t="shared" si="49"/>
        <v>0</v>
      </c>
      <c r="N93" s="532">
        <f t="shared" si="49"/>
        <v>0</v>
      </c>
      <c r="O93" s="532">
        <f t="shared" si="49"/>
        <v>0</v>
      </c>
      <c r="P93" s="532">
        <f t="shared" si="49"/>
        <v>0</v>
      </c>
      <c r="Q93" s="532">
        <f t="shared" si="49"/>
        <v>0</v>
      </c>
      <c r="R93" s="532">
        <f t="shared" si="49"/>
        <v>0</v>
      </c>
      <c r="S93" s="532">
        <f t="shared" si="49"/>
        <v>0</v>
      </c>
      <c r="T93" s="532">
        <f t="shared" si="49"/>
        <v>0</v>
      </c>
      <c r="U93" s="532">
        <f t="shared" si="49"/>
        <v>0</v>
      </c>
      <c r="V93" s="532">
        <f t="shared" si="49"/>
        <v>0</v>
      </c>
      <c r="W93" s="532">
        <f t="shared" si="49"/>
        <v>0</v>
      </c>
      <c r="X93" s="532">
        <f t="shared" si="49"/>
        <v>0</v>
      </c>
      <c r="Y93" s="532">
        <f t="shared" si="49"/>
        <v>180000000</v>
      </c>
      <c r="Z93" s="532">
        <f t="shared" si="49"/>
        <v>177204569.19999999</v>
      </c>
      <c r="AA93" s="532"/>
      <c r="AB93" s="532"/>
      <c r="AC93" s="37"/>
    </row>
    <row r="94" spans="1:29" ht="16.5" thickTop="1" thickBot="1" x14ac:dyDescent="0.3">
      <c r="A94" s="43">
        <v>2</v>
      </c>
      <c r="B94" s="43" t="s">
        <v>139</v>
      </c>
      <c r="C94" s="44" t="s">
        <v>183</v>
      </c>
      <c r="D94" s="44" t="s">
        <v>129</v>
      </c>
      <c r="E94" s="44" t="s">
        <v>129</v>
      </c>
      <c r="F94" s="44" t="s">
        <v>129</v>
      </c>
      <c r="G94" s="43"/>
      <c r="H94" s="70" t="s">
        <v>320</v>
      </c>
      <c r="I94" s="525">
        <f>+I95</f>
        <v>180000000</v>
      </c>
      <c r="J94" s="525">
        <f t="shared" si="49"/>
        <v>177204569.19999999</v>
      </c>
      <c r="K94" s="525">
        <f t="shared" si="49"/>
        <v>164176346</v>
      </c>
      <c r="L94" s="525">
        <f t="shared" si="49"/>
        <v>72186134</v>
      </c>
      <c r="M94" s="525">
        <f t="shared" si="49"/>
        <v>0</v>
      </c>
      <c r="N94" s="525">
        <f t="shared" si="49"/>
        <v>0</v>
      </c>
      <c r="O94" s="525">
        <f t="shared" si="49"/>
        <v>0</v>
      </c>
      <c r="P94" s="525">
        <f t="shared" si="49"/>
        <v>0</v>
      </c>
      <c r="Q94" s="525">
        <f t="shared" si="49"/>
        <v>0</v>
      </c>
      <c r="R94" s="525">
        <f t="shared" si="49"/>
        <v>0</v>
      </c>
      <c r="S94" s="525">
        <f t="shared" si="49"/>
        <v>0</v>
      </c>
      <c r="T94" s="525">
        <f t="shared" si="49"/>
        <v>0</v>
      </c>
      <c r="U94" s="525">
        <f t="shared" si="49"/>
        <v>0</v>
      </c>
      <c r="V94" s="525">
        <f t="shared" si="49"/>
        <v>0</v>
      </c>
      <c r="W94" s="525">
        <f t="shared" si="49"/>
        <v>0</v>
      </c>
      <c r="X94" s="525">
        <f t="shared" si="49"/>
        <v>0</v>
      </c>
      <c r="Y94" s="525">
        <f t="shared" si="49"/>
        <v>180000000</v>
      </c>
      <c r="Z94" s="525">
        <f t="shared" si="49"/>
        <v>177204569.19999999</v>
      </c>
      <c r="AA94" s="525">
        <f t="shared" ref="AA94:AB95" si="51">+K94+O94+S94+W94</f>
        <v>164176346</v>
      </c>
      <c r="AB94" s="525">
        <f t="shared" si="51"/>
        <v>72186134</v>
      </c>
      <c r="AC94" s="37"/>
    </row>
    <row r="95" spans="1:29" ht="16.5" thickTop="1" thickBot="1" x14ac:dyDescent="0.3">
      <c r="A95" s="43">
        <v>2</v>
      </c>
      <c r="B95" s="43" t="s">
        <v>139</v>
      </c>
      <c r="C95" s="43" t="s">
        <v>183</v>
      </c>
      <c r="D95" s="43" t="s">
        <v>129</v>
      </c>
      <c r="E95" s="44" t="s">
        <v>129</v>
      </c>
      <c r="F95" s="44" t="s">
        <v>129</v>
      </c>
      <c r="G95" s="44" t="s">
        <v>129</v>
      </c>
      <c r="H95" s="70" t="s">
        <v>321</v>
      </c>
      <c r="I95" s="525">
        <v>180000000</v>
      </c>
      <c r="J95" s="525">
        <v>177204569.19999999</v>
      </c>
      <c r="K95" s="525">
        <v>164176346</v>
      </c>
      <c r="L95" s="525">
        <v>72186134</v>
      </c>
      <c r="M95" s="525"/>
      <c r="N95" s="525"/>
      <c r="O95" s="525"/>
      <c r="P95" s="525"/>
      <c r="Q95" s="525"/>
      <c r="R95" s="525"/>
      <c r="S95" s="525"/>
      <c r="T95" s="525"/>
      <c r="U95" s="525"/>
      <c r="V95" s="525"/>
      <c r="W95" s="525"/>
      <c r="X95" s="525"/>
      <c r="Y95" s="525">
        <f t="shared" ref="Y95:Z95" si="52">+I95+M95+Q95+U95</f>
        <v>180000000</v>
      </c>
      <c r="Z95" s="525">
        <f t="shared" si="52"/>
        <v>177204569.19999999</v>
      </c>
      <c r="AA95" s="525">
        <f t="shared" si="51"/>
        <v>164176346</v>
      </c>
      <c r="AB95" s="525">
        <f t="shared" si="51"/>
        <v>72186134</v>
      </c>
      <c r="AC95" s="37"/>
    </row>
    <row r="96" spans="1:29" ht="16.5" thickTop="1" thickBot="1" x14ac:dyDescent="0.3">
      <c r="A96" s="58">
        <v>2</v>
      </c>
      <c r="B96" s="58" t="s">
        <v>139</v>
      </c>
      <c r="C96" s="58" t="s">
        <v>183</v>
      </c>
      <c r="D96" s="58" t="s">
        <v>134</v>
      </c>
      <c r="E96" s="58"/>
      <c r="F96" s="58"/>
      <c r="G96" s="58"/>
      <c r="H96" s="69" t="s">
        <v>1071</v>
      </c>
      <c r="I96" s="532">
        <f>+I97</f>
        <v>480000000</v>
      </c>
      <c r="J96" s="532">
        <f t="shared" ref="J96:AB98" si="53">+J97</f>
        <v>472511601</v>
      </c>
      <c r="K96" s="532">
        <f t="shared" si="53"/>
        <v>445997516</v>
      </c>
      <c r="L96" s="532">
        <f t="shared" si="53"/>
        <v>69190209</v>
      </c>
      <c r="M96" s="532">
        <f t="shared" si="53"/>
        <v>0</v>
      </c>
      <c r="N96" s="532">
        <f t="shared" si="53"/>
        <v>0</v>
      </c>
      <c r="O96" s="532">
        <f t="shared" si="53"/>
        <v>0</v>
      </c>
      <c r="P96" s="532">
        <f t="shared" si="53"/>
        <v>0</v>
      </c>
      <c r="Q96" s="532">
        <f t="shared" si="53"/>
        <v>0</v>
      </c>
      <c r="R96" s="532">
        <f t="shared" si="53"/>
        <v>0</v>
      </c>
      <c r="S96" s="532">
        <f t="shared" si="53"/>
        <v>0</v>
      </c>
      <c r="T96" s="532">
        <f t="shared" si="53"/>
        <v>0</v>
      </c>
      <c r="U96" s="532">
        <f t="shared" si="53"/>
        <v>0</v>
      </c>
      <c r="V96" s="532">
        <f t="shared" si="53"/>
        <v>0</v>
      </c>
      <c r="W96" s="532">
        <f t="shared" si="53"/>
        <v>0</v>
      </c>
      <c r="X96" s="532">
        <f t="shared" si="53"/>
        <v>0</v>
      </c>
      <c r="Y96" s="532">
        <f t="shared" si="53"/>
        <v>480000000</v>
      </c>
      <c r="Z96" s="532">
        <f t="shared" si="53"/>
        <v>472511601</v>
      </c>
      <c r="AA96" s="532">
        <f t="shared" si="53"/>
        <v>445997516</v>
      </c>
      <c r="AB96" s="532">
        <f t="shared" si="53"/>
        <v>69190209</v>
      </c>
      <c r="AC96" s="37"/>
    </row>
    <row r="97" spans="1:29" ht="16.5" thickTop="1" thickBot="1" x14ac:dyDescent="0.3">
      <c r="A97" s="58">
        <v>3</v>
      </c>
      <c r="B97" s="58" t="s">
        <v>139</v>
      </c>
      <c r="C97" s="58" t="s">
        <v>183</v>
      </c>
      <c r="D97" s="58" t="s">
        <v>134</v>
      </c>
      <c r="E97" s="58" t="s">
        <v>129</v>
      </c>
      <c r="F97" s="58"/>
      <c r="G97" s="58"/>
      <c r="H97" s="69" t="s">
        <v>319</v>
      </c>
      <c r="I97" s="532">
        <f>+I98</f>
        <v>480000000</v>
      </c>
      <c r="J97" s="532">
        <f t="shared" si="53"/>
        <v>472511601</v>
      </c>
      <c r="K97" s="532">
        <f t="shared" si="53"/>
        <v>445997516</v>
      </c>
      <c r="L97" s="532">
        <f t="shared" si="53"/>
        <v>69190209</v>
      </c>
      <c r="M97" s="532">
        <f t="shared" si="53"/>
        <v>0</v>
      </c>
      <c r="N97" s="532">
        <f t="shared" si="53"/>
        <v>0</v>
      </c>
      <c r="O97" s="532">
        <f t="shared" si="53"/>
        <v>0</v>
      </c>
      <c r="P97" s="532">
        <f t="shared" si="53"/>
        <v>0</v>
      </c>
      <c r="Q97" s="532">
        <f t="shared" si="53"/>
        <v>0</v>
      </c>
      <c r="R97" s="532">
        <f t="shared" si="53"/>
        <v>0</v>
      </c>
      <c r="S97" s="532">
        <f t="shared" si="53"/>
        <v>0</v>
      </c>
      <c r="T97" s="532">
        <f t="shared" si="53"/>
        <v>0</v>
      </c>
      <c r="U97" s="532">
        <f t="shared" si="53"/>
        <v>0</v>
      </c>
      <c r="V97" s="532">
        <f t="shared" si="53"/>
        <v>0</v>
      </c>
      <c r="W97" s="532">
        <f t="shared" si="53"/>
        <v>0</v>
      </c>
      <c r="X97" s="532">
        <f t="shared" si="53"/>
        <v>0</v>
      </c>
      <c r="Y97" s="532">
        <f t="shared" si="53"/>
        <v>480000000</v>
      </c>
      <c r="Z97" s="532">
        <f t="shared" si="53"/>
        <v>472511601</v>
      </c>
      <c r="AA97" s="532">
        <f t="shared" si="53"/>
        <v>445997516</v>
      </c>
      <c r="AB97" s="532">
        <f t="shared" si="53"/>
        <v>69190209</v>
      </c>
      <c r="AC97" s="37"/>
    </row>
    <row r="98" spans="1:29" ht="16.5" thickTop="1" thickBot="1" x14ac:dyDescent="0.3">
      <c r="A98" s="43">
        <v>2</v>
      </c>
      <c r="B98" s="43" t="s">
        <v>139</v>
      </c>
      <c r="C98" s="44" t="s">
        <v>183</v>
      </c>
      <c r="D98" s="44" t="s">
        <v>134</v>
      </c>
      <c r="E98" s="44" t="s">
        <v>129</v>
      </c>
      <c r="F98" s="44" t="s">
        <v>129</v>
      </c>
      <c r="G98" s="43"/>
      <c r="H98" s="70" t="s">
        <v>320</v>
      </c>
      <c r="I98" s="525">
        <f>+I99</f>
        <v>480000000</v>
      </c>
      <c r="J98" s="525">
        <f t="shared" si="53"/>
        <v>472511601</v>
      </c>
      <c r="K98" s="525">
        <f t="shared" si="53"/>
        <v>445997516</v>
      </c>
      <c r="L98" s="525">
        <f t="shared" si="53"/>
        <v>69190209</v>
      </c>
      <c r="M98" s="525">
        <f t="shared" si="53"/>
        <v>0</v>
      </c>
      <c r="N98" s="525">
        <f t="shared" si="53"/>
        <v>0</v>
      </c>
      <c r="O98" s="525">
        <f t="shared" si="53"/>
        <v>0</v>
      </c>
      <c r="P98" s="525">
        <f t="shared" si="53"/>
        <v>0</v>
      </c>
      <c r="Q98" s="525">
        <f t="shared" si="53"/>
        <v>0</v>
      </c>
      <c r="R98" s="525">
        <f t="shared" si="53"/>
        <v>0</v>
      </c>
      <c r="S98" s="525">
        <f t="shared" si="53"/>
        <v>0</v>
      </c>
      <c r="T98" s="525">
        <f t="shared" si="53"/>
        <v>0</v>
      </c>
      <c r="U98" s="525">
        <f t="shared" si="53"/>
        <v>0</v>
      </c>
      <c r="V98" s="525">
        <f t="shared" si="53"/>
        <v>0</v>
      </c>
      <c r="W98" s="525">
        <f t="shared" si="53"/>
        <v>0</v>
      </c>
      <c r="X98" s="525">
        <f t="shared" si="53"/>
        <v>0</v>
      </c>
      <c r="Y98" s="525">
        <f t="shared" si="53"/>
        <v>480000000</v>
      </c>
      <c r="Z98" s="525">
        <f t="shared" si="53"/>
        <v>472511601</v>
      </c>
      <c r="AA98" s="525">
        <f t="shared" si="53"/>
        <v>445997516</v>
      </c>
      <c r="AB98" s="525">
        <f t="shared" si="53"/>
        <v>69190209</v>
      </c>
      <c r="AC98" s="37"/>
    </row>
    <row r="99" spans="1:29" ht="16.5" thickTop="1" thickBot="1" x14ac:dyDescent="0.3">
      <c r="A99" s="43">
        <v>2</v>
      </c>
      <c r="B99" s="43" t="s">
        <v>139</v>
      </c>
      <c r="C99" s="44" t="s">
        <v>183</v>
      </c>
      <c r="D99" s="44" t="s">
        <v>134</v>
      </c>
      <c r="E99" s="44" t="s">
        <v>129</v>
      </c>
      <c r="F99" s="44" t="s">
        <v>129</v>
      </c>
      <c r="G99" s="44" t="s">
        <v>129</v>
      </c>
      <c r="H99" s="70" t="s">
        <v>321</v>
      </c>
      <c r="I99" s="525">
        <v>480000000</v>
      </c>
      <c r="J99" s="525">
        <v>472511601</v>
      </c>
      <c r="K99" s="525">
        <v>445997516</v>
      </c>
      <c r="L99" s="525">
        <v>69190209</v>
      </c>
      <c r="M99" s="525"/>
      <c r="N99" s="525"/>
      <c r="O99" s="525"/>
      <c r="P99" s="525"/>
      <c r="Q99" s="525"/>
      <c r="R99" s="525"/>
      <c r="S99" s="525"/>
      <c r="T99" s="525"/>
      <c r="U99" s="525"/>
      <c r="V99" s="525"/>
      <c r="W99" s="525"/>
      <c r="X99" s="525"/>
      <c r="Y99" s="525">
        <f t="shared" ref="Y99:AB99" si="54">+I99+M99+Q99+U99</f>
        <v>480000000</v>
      </c>
      <c r="Z99" s="525">
        <f t="shared" si="54"/>
        <v>472511601</v>
      </c>
      <c r="AA99" s="525">
        <f t="shared" si="54"/>
        <v>445997516</v>
      </c>
      <c r="AB99" s="525">
        <f t="shared" si="54"/>
        <v>69190209</v>
      </c>
      <c r="AC99" s="37"/>
    </row>
    <row r="100" spans="1:29" ht="16.5" thickTop="1" thickBot="1" x14ac:dyDescent="0.3">
      <c r="A100" s="58">
        <v>2</v>
      </c>
      <c r="B100" s="58" t="s">
        <v>139</v>
      </c>
      <c r="C100" s="58" t="s">
        <v>183</v>
      </c>
      <c r="D100" s="58" t="s">
        <v>139</v>
      </c>
      <c r="E100" s="58"/>
      <c r="F100" s="58"/>
      <c r="G100" s="58"/>
      <c r="H100" s="69" t="s">
        <v>1072</v>
      </c>
      <c r="I100" s="532">
        <f>+I101</f>
        <v>510000000</v>
      </c>
      <c r="J100" s="532">
        <f t="shared" ref="J100:AB102" si="55">+J101</f>
        <v>486929495</v>
      </c>
      <c r="K100" s="532">
        <f t="shared" si="55"/>
        <v>447174904</v>
      </c>
      <c r="L100" s="532">
        <f t="shared" si="55"/>
        <v>441535890</v>
      </c>
      <c r="M100" s="532">
        <f t="shared" si="55"/>
        <v>0</v>
      </c>
      <c r="N100" s="532">
        <f t="shared" si="55"/>
        <v>0</v>
      </c>
      <c r="O100" s="532">
        <f t="shared" si="55"/>
        <v>0</v>
      </c>
      <c r="P100" s="532">
        <f t="shared" si="55"/>
        <v>0</v>
      </c>
      <c r="Q100" s="532">
        <f t="shared" si="55"/>
        <v>0</v>
      </c>
      <c r="R100" s="532">
        <f t="shared" si="55"/>
        <v>0</v>
      </c>
      <c r="S100" s="532">
        <f t="shared" si="55"/>
        <v>0</v>
      </c>
      <c r="T100" s="532">
        <f t="shared" si="55"/>
        <v>0</v>
      </c>
      <c r="U100" s="532">
        <f t="shared" si="55"/>
        <v>0</v>
      </c>
      <c r="V100" s="532">
        <f t="shared" si="55"/>
        <v>0</v>
      </c>
      <c r="W100" s="532">
        <f t="shared" si="55"/>
        <v>0</v>
      </c>
      <c r="X100" s="532">
        <f t="shared" si="55"/>
        <v>0</v>
      </c>
      <c r="Y100" s="532">
        <f t="shared" si="55"/>
        <v>510000000</v>
      </c>
      <c r="Z100" s="532">
        <f t="shared" si="55"/>
        <v>486929495</v>
      </c>
      <c r="AA100" s="532">
        <f t="shared" si="55"/>
        <v>447174904</v>
      </c>
      <c r="AB100" s="532">
        <f t="shared" si="55"/>
        <v>441535890</v>
      </c>
      <c r="AC100" s="37"/>
    </row>
    <row r="101" spans="1:29" ht="16.5" thickTop="1" thickBot="1" x14ac:dyDescent="0.3">
      <c r="A101" s="58">
        <v>3</v>
      </c>
      <c r="B101" s="58" t="s">
        <v>139</v>
      </c>
      <c r="C101" s="58" t="s">
        <v>183</v>
      </c>
      <c r="D101" s="58" t="s">
        <v>139</v>
      </c>
      <c r="E101" s="58" t="s">
        <v>129</v>
      </c>
      <c r="F101" s="58"/>
      <c r="G101" s="58"/>
      <c r="H101" s="69" t="s">
        <v>319</v>
      </c>
      <c r="I101" s="532">
        <f>+I102</f>
        <v>510000000</v>
      </c>
      <c r="J101" s="532">
        <f t="shared" si="55"/>
        <v>486929495</v>
      </c>
      <c r="K101" s="532">
        <f t="shared" si="55"/>
        <v>447174904</v>
      </c>
      <c r="L101" s="532">
        <f t="shared" si="55"/>
        <v>441535890</v>
      </c>
      <c r="M101" s="532">
        <f t="shared" si="55"/>
        <v>0</v>
      </c>
      <c r="N101" s="532">
        <f t="shared" si="55"/>
        <v>0</v>
      </c>
      <c r="O101" s="532">
        <f t="shared" si="55"/>
        <v>0</v>
      </c>
      <c r="P101" s="532">
        <f t="shared" si="55"/>
        <v>0</v>
      </c>
      <c r="Q101" s="532">
        <f t="shared" si="55"/>
        <v>0</v>
      </c>
      <c r="R101" s="532">
        <f t="shared" si="55"/>
        <v>0</v>
      </c>
      <c r="S101" s="532">
        <f t="shared" si="55"/>
        <v>0</v>
      </c>
      <c r="T101" s="532">
        <f t="shared" si="55"/>
        <v>0</v>
      </c>
      <c r="U101" s="532">
        <f t="shared" si="55"/>
        <v>0</v>
      </c>
      <c r="V101" s="532">
        <f t="shared" si="55"/>
        <v>0</v>
      </c>
      <c r="W101" s="532">
        <f t="shared" si="55"/>
        <v>0</v>
      </c>
      <c r="X101" s="532">
        <f t="shared" si="55"/>
        <v>0</v>
      </c>
      <c r="Y101" s="532">
        <f t="shared" si="55"/>
        <v>510000000</v>
      </c>
      <c r="Z101" s="532">
        <f t="shared" si="55"/>
        <v>486929495</v>
      </c>
      <c r="AA101" s="532">
        <f t="shared" si="55"/>
        <v>447174904</v>
      </c>
      <c r="AB101" s="532">
        <f t="shared" si="55"/>
        <v>441535890</v>
      </c>
      <c r="AC101" s="37"/>
    </row>
    <row r="102" spans="1:29" ht="16.5" thickTop="1" thickBot="1" x14ac:dyDescent="0.3">
      <c r="A102" s="43">
        <v>2</v>
      </c>
      <c r="B102" s="43" t="s">
        <v>139</v>
      </c>
      <c r="C102" s="44" t="s">
        <v>183</v>
      </c>
      <c r="D102" s="44" t="s">
        <v>139</v>
      </c>
      <c r="E102" s="44" t="s">
        <v>129</v>
      </c>
      <c r="F102" s="44" t="s">
        <v>129</v>
      </c>
      <c r="G102" s="43"/>
      <c r="H102" s="70" t="s">
        <v>320</v>
      </c>
      <c r="I102" s="525">
        <f>+I103</f>
        <v>510000000</v>
      </c>
      <c r="J102" s="525">
        <f t="shared" si="55"/>
        <v>486929495</v>
      </c>
      <c r="K102" s="525">
        <f t="shared" si="55"/>
        <v>447174904</v>
      </c>
      <c r="L102" s="525">
        <f t="shared" si="55"/>
        <v>441535890</v>
      </c>
      <c r="M102" s="525">
        <f t="shared" si="55"/>
        <v>0</v>
      </c>
      <c r="N102" s="525">
        <f t="shared" si="55"/>
        <v>0</v>
      </c>
      <c r="O102" s="525">
        <f t="shared" si="55"/>
        <v>0</v>
      </c>
      <c r="P102" s="525">
        <f t="shared" si="55"/>
        <v>0</v>
      </c>
      <c r="Q102" s="525">
        <f t="shared" si="55"/>
        <v>0</v>
      </c>
      <c r="R102" s="525">
        <f t="shared" si="55"/>
        <v>0</v>
      </c>
      <c r="S102" s="525">
        <f t="shared" si="55"/>
        <v>0</v>
      </c>
      <c r="T102" s="525">
        <f t="shared" si="55"/>
        <v>0</v>
      </c>
      <c r="U102" s="525">
        <f t="shared" si="55"/>
        <v>0</v>
      </c>
      <c r="V102" s="525">
        <f t="shared" si="55"/>
        <v>0</v>
      </c>
      <c r="W102" s="525">
        <f t="shared" si="55"/>
        <v>0</v>
      </c>
      <c r="X102" s="525">
        <f t="shared" si="55"/>
        <v>0</v>
      </c>
      <c r="Y102" s="525">
        <f t="shared" si="55"/>
        <v>510000000</v>
      </c>
      <c r="Z102" s="525">
        <f t="shared" si="55"/>
        <v>486929495</v>
      </c>
      <c r="AA102" s="525">
        <f t="shared" si="55"/>
        <v>447174904</v>
      </c>
      <c r="AB102" s="525">
        <f t="shared" si="55"/>
        <v>441535890</v>
      </c>
      <c r="AC102" s="37"/>
    </row>
    <row r="103" spans="1:29" ht="16.5" thickTop="1" thickBot="1" x14ac:dyDescent="0.3">
      <c r="A103" s="43">
        <v>2</v>
      </c>
      <c r="B103" s="43" t="s">
        <v>139</v>
      </c>
      <c r="C103" s="44" t="s">
        <v>183</v>
      </c>
      <c r="D103" s="44" t="s">
        <v>139</v>
      </c>
      <c r="E103" s="44" t="s">
        <v>129</v>
      </c>
      <c r="F103" s="44" t="s">
        <v>129</v>
      </c>
      <c r="G103" s="44" t="s">
        <v>129</v>
      </c>
      <c r="H103" s="70" t="s">
        <v>321</v>
      </c>
      <c r="I103" s="525">
        <v>510000000</v>
      </c>
      <c r="J103" s="525">
        <v>486929495</v>
      </c>
      <c r="K103" s="525">
        <v>447174904</v>
      </c>
      <c r="L103" s="525">
        <v>441535890</v>
      </c>
      <c r="M103" s="525"/>
      <c r="N103" s="525"/>
      <c r="O103" s="525"/>
      <c r="P103" s="525"/>
      <c r="Q103" s="525"/>
      <c r="R103" s="525"/>
      <c r="S103" s="525"/>
      <c r="T103" s="525"/>
      <c r="U103" s="525"/>
      <c r="V103" s="525"/>
      <c r="W103" s="525"/>
      <c r="X103" s="525"/>
      <c r="Y103" s="525">
        <f t="shared" ref="Y103:AB103" si="56">+I103+M103+Q103+U103</f>
        <v>510000000</v>
      </c>
      <c r="Z103" s="525">
        <f t="shared" si="56"/>
        <v>486929495</v>
      </c>
      <c r="AA103" s="525">
        <f t="shared" si="56"/>
        <v>447174904</v>
      </c>
      <c r="AB103" s="525">
        <f t="shared" si="56"/>
        <v>441535890</v>
      </c>
      <c r="AC103" s="37"/>
    </row>
    <row r="104" spans="1:29" ht="16.5" thickTop="1" thickBot="1" x14ac:dyDescent="0.3">
      <c r="A104" s="58">
        <v>2</v>
      </c>
      <c r="B104" s="58" t="s">
        <v>139</v>
      </c>
      <c r="C104" s="58" t="s">
        <v>183</v>
      </c>
      <c r="D104" s="58" t="s">
        <v>140</v>
      </c>
      <c r="E104" s="58"/>
      <c r="F104" s="58"/>
      <c r="G104" s="58"/>
      <c r="H104" s="69" t="s">
        <v>1073</v>
      </c>
      <c r="I104" s="532">
        <f>+I105</f>
        <v>2442500000</v>
      </c>
      <c r="J104" s="532">
        <f t="shared" ref="J104:AB106" si="57">+J105</f>
        <v>1958456348.9400001</v>
      </c>
      <c r="K104" s="532">
        <f t="shared" si="57"/>
        <v>1037690522.3</v>
      </c>
      <c r="L104" s="532">
        <f t="shared" si="57"/>
        <v>1023280618.3</v>
      </c>
      <c r="M104" s="532">
        <f t="shared" si="57"/>
        <v>0</v>
      </c>
      <c r="N104" s="532">
        <f t="shared" si="57"/>
        <v>0</v>
      </c>
      <c r="O104" s="532">
        <f t="shared" si="57"/>
        <v>0</v>
      </c>
      <c r="P104" s="532">
        <f t="shared" si="57"/>
        <v>0</v>
      </c>
      <c r="Q104" s="532">
        <f t="shared" si="57"/>
        <v>0</v>
      </c>
      <c r="R104" s="532">
        <f t="shared" si="57"/>
        <v>0</v>
      </c>
      <c r="S104" s="532">
        <f t="shared" si="57"/>
        <v>0</v>
      </c>
      <c r="T104" s="532">
        <f t="shared" si="57"/>
        <v>0</v>
      </c>
      <c r="U104" s="532">
        <f t="shared" si="57"/>
        <v>0</v>
      </c>
      <c r="V104" s="532">
        <f t="shared" si="57"/>
        <v>0</v>
      </c>
      <c r="W104" s="532">
        <f t="shared" si="57"/>
        <v>0</v>
      </c>
      <c r="X104" s="532">
        <f t="shared" si="57"/>
        <v>0</v>
      </c>
      <c r="Y104" s="532">
        <f t="shared" si="57"/>
        <v>2442500000</v>
      </c>
      <c r="Z104" s="532">
        <f t="shared" si="57"/>
        <v>1958456348.9400001</v>
      </c>
      <c r="AA104" s="532">
        <f t="shared" si="57"/>
        <v>1037690522.3</v>
      </c>
      <c r="AB104" s="532">
        <f t="shared" si="57"/>
        <v>1023280618.3</v>
      </c>
      <c r="AC104" s="37"/>
    </row>
    <row r="105" spans="1:29" ht="16.5" thickTop="1" thickBot="1" x14ac:dyDescent="0.3">
      <c r="A105" s="58">
        <v>3</v>
      </c>
      <c r="B105" s="58" t="s">
        <v>139</v>
      </c>
      <c r="C105" s="58" t="s">
        <v>183</v>
      </c>
      <c r="D105" s="58" t="s">
        <v>140</v>
      </c>
      <c r="E105" s="58" t="s">
        <v>129</v>
      </c>
      <c r="F105" s="58"/>
      <c r="G105" s="58"/>
      <c r="H105" s="69" t="s">
        <v>319</v>
      </c>
      <c r="I105" s="532">
        <f>+I106</f>
        <v>2442500000</v>
      </c>
      <c r="J105" s="532">
        <f t="shared" si="57"/>
        <v>1958456348.9400001</v>
      </c>
      <c r="K105" s="532">
        <f t="shared" si="57"/>
        <v>1037690522.3</v>
      </c>
      <c r="L105" s="532">
        <f t="shared" si="57"/>
        <v>1023280618.3</v>
      </c>
      <c r="M105" s="532">
        <f t="shared" si="57"/>
        <v>0</v>
      </c>
      <c r="N105" s="532">
        <f t="shared" si="57"/>
        <v>0</v>
      </c>
      <c r="O105" s="532">
        <f t="shared" si="57"/>
        <v>0</v>
      </c>
      <c r="P105" s="532">
        <f t="shared" si="57"/>
        <v>0</v>
      </c>
      <c r="Q105" s="532">
        <f t="shared" si="57"/>
        <v>0</v>
      </c>
      <c r="R105" s="532">
        <f t="shared" si="57"/>
        <v>0</v>
      </c>
      <c r="S105" s="532">
        <f t="shared" si="57"/>
        <v>0</v>
      </c>
      <c r="T105" s="532">
        <f t="shared" si="57"/>
        <v>0</v>
      </c>
      <c r="U105" s="532">
        <f t="shared" si="57"/>
        <v>0</v>
      </c>
      <c r="V105" s="532">
        <f t="shared" si="57"/>
        <v>0</v>
      </c>
      <c r="W105" s="532">
        <f t="shared" si="57"/>
        <v>0</v>
      </c>
      <c r="X105" s="532">
        <f t="shared" si="57"/>
        <v>0</v>
      </c>
      <c r="Y105" s="532">
        <f t="shared" si="57"/>
        <v>2442500000</v>
      </c>
      <c r="Z105" s="532">
        <f t="shared" si="57"/>
        <v>1958456348.9400001</v>
      </c>
      <c r="AA105" s="532">
        <f t="shared" si="57"/>
        <v>1037690522.3</v>
      </c>
      <c r="AB105" s="532">
        <f t="shared" si="57"/>
        <v>1023280618.3</v>
      </c>
      <c r="AC105" s="37"/>
    </row>
    <row r="106" spans="1:29" ht="16.5" thickTop="1" thickBot="1" x14ac:dyDescent="0.3">
      <c r="A106" s="43">
        <v>2</v>
      </c>
      <c r="B106" s="43" t="s">
        <v>139</v>
      </c>
      <c r="C106" s="44" t="s">
        <v>183</v>
      </c>
      <c r="D106" s="44" t="s">
        <v>140</v>
      </c>
      <c r="E106" s="44" t="s">
        <v>129</v>
      </c>
      <c r="F106" s="44" t="s">
        <v>129</v>
      </c>
      <c r="G106" s="43"/>
      <c r="H106" s="70" t="s">
        <v>320</v>
      </c>
      <c r="I106" s="525">
        <f>+I107</f>
        <v>2442500000</v>
      </c>
      <c r="J106" s="525">
        <f t="shared" si="57"/>
        <v>1958456348.9400001</v>
      </c>
      <c r="K106" s="525">
        <f t="shared" si="57"/>
        <v>1037690522.3</v>
      </c>
      <c r="L106" s="525">
        <f t="shared" si="57"/>
        <v>1023280618.3</v>
      </c>
      <c r="M106" s="525">
        <f t="shared" si="57"/>
        <v>0</v>
      </c>
      <c r="N106" s="525">
        <f t="shared" si="57"/>
        <v>0</v>
      </c>
      <c r="O106" s="525">
        <f t="shared" si="57"/>
        <v>0</v>
      </c>
      <c r="P106" s="525">
        <f t="shared" si="57"/>
        <v>0</v>
      </c>
      <c r="Q106" s="525">
        <f t="shared" si="57"/>
        <v>0</v>
      </c>
      <c r="R106" s="525">
        <f t="shared" si="57"/>
        <v>0</v>
      </c>
      <c r="S106" s="525">
        <f t="shared" si="57"/>
        <v>0</v>
      </c>
      <c r="T106" s="525">
        <f t="shared" si="57"/>
        <v>0</v>
      </c>
      <c r="U106" s="525">
        <f t="shared" si="57"/>
        <v>0</v>
      </c>
      <c r="V106" s="525">
        <f t="shared" si="57"/>
        <v>0</v>
      </c>
      <c r="W106" s="525">
        <f t="shared" si="57"/>
        <v>0</v>
      </c>
      <c r="X106" s="525">
        <f t="shared" si="57"/>
        <v>0</v>
      </c>
      <c r="Y106" s="525">
        <f t="shared" si="57"/>
        <v>2442500000</v>
      </c>
      <c r="Z106" s="525">
        <f t="shared" si="57"/>
        <v>1958456348.9400001</v>
      </c>
      <c r="AA106" s="525">
        <f t="shared" si="57"/>
        <v>1037690522.3</v>
      </c>
      <c r="AB106" s="525">
        <f t="shared" si="57"/>
        <v>1023280618.3</v>
      </c>
      <c r="AC106" s="37"/>
    </row>
    <row r="107" spans="1:29" ht="16.5" thickTop="1" thickBot="1" x14ac:dyDescent="0.3">
      <c r="A107" s="43">
        <v>2</v>
      </c>
      <c r="B107" s="43" t="s">
        <v>139</v>
      </c>
      <c r="C107" s="44" t="s">
        <v>183</v>
      </c>
      <c r="D107" s="44" t="s">
        <v>140</v>
      </c>
      <c r="E107" s="44" t="s">
        <v>129</v>
      </c>
      <c r="F107" s="44" t="s">
        <v>129</v>
      </c>
      <c r="G107" s="44" t="s">
        <v>129</v>
      </c>
      <c r="H107" s="70" t="s">
        <v>321</v>
      </c>
      <c r="I107" s="525">
        <v>2442500000</v>
      </c>
      <c r="J107" s="525">
        <v>1958456348.9400001</v>
      </c>
      <c r="K107" s="525">
        <v>1037690522.3</v>
      </c>
      <c r="L107" s="525">
        <v>1023280618.3</v>
      </c>
      <c r="M107" s="525"/>
      <c r="N107" s="525"/>
      <c r="O107" s="525"/>
      <c r="P107" s="525"/>
      <c r="Q107" s="525"/>
      <c r="R107" s="525"/>
      <c r="S107" s="525"/>
      <c r="T107" s="525"/>
      <c r="U107" s="525"/>
      <c r="V107" s="525"/>
      <c r="W107" s="525"/>
      <c r="X107" s="525"/>
      <c r="Y107" s="525">
        <f t="shared" ref="Y107:AB107" si="58">+I107+M107+Q107+U107</f>
        <v>2442500000</v>
      </c>
      <c r="Z107" s="525">
        <f t="shared" si="58"/>
        <v>1958456348.9400001</v>
      </c>
      <c r="AA107" s="525">
        <f t="shared" si="58"/>
        <v>1037690522.3</v>
      </c>
      <c r="AB107" s="525">
        <f t="shared" si="58"/>
        <v>1023280618.3</v>
      </c>
      <c r="AC107" s="37"/>
    </row>
    <row r="108" spans="1:29" ht="16.5" thickTop="1" thickBot="1" x14ac:dyDescent="0.3">
      <c r="A108" s="58">
        <v>2</v>
      </c>
      <c r="B108" s="58" t="s">
        <v>139</v>
      </c>
      <c r="C108" s="58" t="s">
        <v>183</v>
      </c>
      <c r="D108" s="58" t="s">
        <v>144</v>
      </c>
      <c r="E108" s="58"/>
      <c r="F108" s="58"/>
      <c r="G108" s="58"/>
      <c r="H108" s="69" t="s">
        <v>1074</v>
      </c>
      <c r="I108" s="532">
        <f>+I109</f>
        <v>2210000000</v>
      </c>
      <c r="J108" s="532">
        <f t="shared" ref="J108:AB110" si="59">+J109</f>
        <v>2156403564</v>
      </c>
      <c r="K108" s="532">
        <f t="shared" si="59"/>
        <v>1910274275</v>
      </c>
      <c r="L108" s="532">
        <f t="shared" si="59"/>
        <v>1888265836</v>
      </c>
      <c r="M108" s="532">
        <f t="shared" si="59"/>
        <v>0</v>
      </c>
      <c r="N108" s="532">
        <f t="shared" si="59"/>
        <v>0</v>
      </c>
      <c r="O108" s="532">
        <f t="shared" si="59"/>
        <v>0</v>
      </c>
      <c r="P108" s="532">
        <f t="shared" si="59"/>
        <v>0</v>
      </c>
      <c r="Q108" s="532">
        <f t="shared" si="59"/>
        <v>0</v>
      </c>
      <c r="R108" s="532">
        <f t="shared" si="59"/>
        <v>0</v>
      </c>
      <c r="S108" s="532">
        <f t="shared" si="59"/>
        <v>0</v>
      </c>
      <c r="T108" s="532">
        <f t="shared" si="59"/>
        <v>0</v>
      </c>
      <c r="U108" s="532">
        <f t="shared" si="59"/>
        <v>0</v>
      </c>
      <c r="V108" s="532">
        <f t="shared" si="59"/>
        <v>0</v>
      </c>
      <c r="W108" s="532">
        <f t="shared" si="59"/>
        <v>0</v>
      </c>
      <c r="X108" s="532">
        <f t="shared" si="59"/>
        <v>0</v>
      </c>
      <c r="Y108" s="532">
        <f t="shared" si="59"/>
        <v>2210000000</v>
      </c>
      <c r="Z108" s="532">
        <f t="shared" si="59"/>
        <v>2156403564</v>
      </c>
      <c r="AA108" s="532">
        <f t="shared" si="59"/>
        <v>1910274275</v>
      </c>
      <c r="AB108" s="532">
        <f t="shared" si="59"/>
        <v>1888265836</v>
      </c>
      <c r="AC108" s="37"/>
    </row>
    <row r="109" spans="1:29" ht="16.5" thickTop="1" thickBot="1" x14ac:dyDescent="0.3">
      <c r="A109" s="58">
        <v>3</v>
      </c>
      <c r="B109" s="58" t="s">
        <v>139</v>
      </c>
      <c r="C109" s="58" t="s">
        <v>183</v>
      </c>
      <c r="D109" s="58" t="s">
        <v>144</v>
      </c>
      <c r="E109" s="58" t="s">
        <v>129</v>
      </c>
      <c r="F109" s="58"/>
      <c r="G109" s="58"/>
      <c r="H109" s="69" t="s">
        <v>319</v>
      </c>
      <c r="I109" s="532">
        <f>+I110</f>
        <v>2210000000</v>
      </c>
      <c r="J109" s="532">
        <f t="shared" si="59"/>
        <v>2156403564</v>
      </c>
      <c r="K109" s="532">
        <f t="shared" si="59"/>
        <v>1910274275</v>
      </c>
      <c r="L109" s="532">
        <f t="shared" si="59"/>
        <v>1888265836</v>
      </c>
      <c r="M109" s="532">
        <f t="shared" si="59"/>
        <v>0</v>
      </c>
      <c r="N109" s="532">
        <f t="shared" si="59"/>
        <v>0</v>
      </c>
      <c r="O109" s="532">
        <f t="shared" si="59"/>
        <v>0</v>
      </c>
      <c r="P109" s="532">
        <f t="shared" si="59"/>
        <v>0</v>
      </c>
      <c r="Q109" s="532">
        <f t="shared" si="59"/>
        <v>0</v>
      </c>
      <c r="R109" s="532">
        <f t="shared" si="59"/>
        <v>0</v>
      </c>
      <c r="S109" s="532">
        <f t="shared" si="59"/>
        <v>0</v>
      </c>
      <c r="T109" s="532">
        <f t="shared" si="59"/>
        <v>0</v>
      </c>
      <c r="U109" s="532">
        <f t="shared" si="59"/>
        <v>0</v>
      </c>
      <c r="V109" s="532">
        <f t="shared" si="59"/>
        <v>0</v>
      </c>
      <c r="W109" s="532">
        <f t="shared" si="59"/>
        <v>0</v>
      </c>
      <c r="X109" s="532">
        <f t="shared" si="59"/>
        <v>0</v>
      </c>
      <c r="Y109" s="532">
        <f t="shared" si="59"/>
        <v>2210000000</v>
      </c>
      <c r="Z109" s="532">
        <f t="shared" si="59"/>
        <v>2156403564</v>
      </c>
      <c r="AA109" s="532">
        <f t="shared" si="59"/>
        <v>1910274275</v>
      </c>
      <c r="AB109" s="532">
        <f t="shared" si="59"/>
        <v>1888265836</v>
      </c>
      <c r="AC109" s="37"/>
    </row>
    <row r="110" spans="1:29" ht="16.5" thickTop="1" thickBot="1" x14ac:dyDescent="0.3">
      <c r="A110" s="43">
        <v>2</v>
      </c>
      <c r="B110" s="43" t="s">
        <v>139</v>
      </c>
      <c r="C110" s="44" t="s">
        <v>183</v>
      </c>
      <c r="D110" s="44" t="s">
        <v>144</v>
      </c>
      <c r="E110" s="44" t="s">
        <v>129</v>
      </c>
      <c r="F110" s="44" t="s">
        <v>129</v>
      </c>
      <c r="G110" s="43"/>
      <c r="H110" s="70" t="s">
        <v>320</v>
      </c>
      <c r="I110" s="525">
        <f>+I111</f>
        <v>2210000000</v>
      </c>
      <c r="J110" s="525">
        <f t="shared" si="59"/>
        <v>2156403564</v>
      </c>
      <c r="K110" s="525">
        <f t="shared" si="59"/>
        <v>1910274275</v>
      </c>
      <c r="L110" s="525">
        <f t="shared" si="59"/>
        <v>1888265836</v>
      </c>
      <c r="M110" s="525">
        <f t="shared" si="59"/>
        <v>0</v>
      </c>
      <c r="N110" s="525">
        <f t="shared" si="59"/>
        <v>0</v>
      </c>
      <c r="O110" s="525">
        <f t="shared" si="59"/>
        <v>0</v>
      </c>
      <c r="P110" s="525">
        <f t="shared" si="59"/>
        <v>0</v>
      </c>
      <c r="Q110" s="525">
        <f t="shared" si="59"/>
        <v>0</v>
      </c>
      <c r="R110" s="525">
        <f t="shared" si="59"/>
        <v>0</v>
      </c>
      <c r="S110" s="525">
        <f t="shared" si="59"/>
        <v>0</v>
      </c>
      <c r="T110" s="525">
        <f t="shared" si="59"/>
        <v>0</v>
      </c>
      <c r="U110" s="525">
        <f t="shared" si="59"/>
        <v>0</v>
      </c>
      <c r="V110" s="525">
        <f t="shared" si="59"/>
        <v>0</v>
      </c>
      <c r="W110" s="525">
        <f t="shared" si="59"/>
        <v>0</v>
      </c>
      <c r="X110" s="525">
        <f t="shared" si="59"/>
        <v>0</v>
      </c>
      <c r="Y110" s="525">
        <f t="shared" si="59"/>
        <v>2210000000</v>
      </c>
      <c r="Z110" s="525">
        <f t="shared" si="59"/>
        <v>2156403564</v>
      </c>
      <c r="AA110" s="525">
        <f t="shared" si="59"/>
        <v>1910274275</v>
      </c>
      <c r="AB110" s="525">
        <f t="shared" si="59"/>
        <v>1888265836</v>
      </c>
      <c r="AC110" s="37"/>
    </row>
    <row r="111" spans="1:29" ht="16.5" thickTop="1" thickBot="1" x14ac:dyDescent="0.3">
      <c r="A111" s="43">
        <v>2</v>
      </c>
      <c r="B111" s="43" t="s">
        <v>139</v>
      </c>
      <c r="C111" s="44" t="s">
        <v>183</v>
      </c>
      <c r="D111" s="44" t="s">
        <v>144</v>
      </c>
      <c r="E111" s="44" t="s">
        <v>129</v>
      </c>
      <c r="F111" s="44" t="s">
        <v>129</v>
      </c>
      <c r="G111" s="44" t="s">
        <v>129</v>
      </c>
      <c r="H111" s="70" t="s">
        <v>321</v>
      </c>
      <c r="I111" s="525">
        <v>2210000000</v>
      </c>
      <c r="J111" s="525">
        <v>2156403564</v>
      </c>
      <c r="K111" s="525">
        <v>1910274275</v>
      </c>
      <c r="L111" s="525">
        <v>1888265836</v>
      </c>
      <c r="M111" s="525"/>
      <c r="N111" s="525"/>
      <c r="O111" s="525"/>
      <c r="P111" s="525"/>
      <c r="Q111" s="525"/>
      <c r="R111" s="525"/>
      <c r="S111" s="525"/>
      <c r="T111" s="525"/>
      <c r="U111" s="525"/>
      <c r="V111" s="525"/>
      <c r="W111" s="525"/>
      <c r="X111" s="525"/>
      <c r="Y111" s="525">
        <f t="shared" ref="Y111:AB111" si="60">+I111+M111+Q111+U111</f>
        <v>2210000000</v>
      </c>
      <c r="Z111" s="525">
        <f t="shared" si="60"/>
        <v>2156403564</v>
      </c>
      <c r="AA111" s="525">
        <f t="shared" si="60"/>
        <v>1910274275</v>
      </c>
      <c r="AB111" s="525">
        <f t="shared" si="60"/>
        <v>1888265836</v>
      </c>
      <c r="AC111" s="37"/>
    </row>
    <row r="112" spans="1:29" ht="16.5" thickTop="1" thickBot="1" x14ac:dyDescent="0.3">
      <c r="A112" s="58">
        <v>2</v>
      </c>
      <c r="B112" s="58" t="s">
        <v>139</v>
      </c>
      <c r="C112" s="58" t="s">
        <v>183</v>
      </c>
      <c r="D112" s="58" t="s">
        <v>145</v>
      </c>
      <c r="E112" s="58"/>
      <c r="F112" s="58"/>
      <c r="G112" s="58"/>
      <c r="H112" s="69" t="s">
        <v>1075</v>
      </c>
      <c r="I112" s="532">
        <f>+I113</f>
        <v>200000000</v>
      </c>
      <c r="J112" s="532">
        <f t="shared" ref="J112:AB114" si="61">+J113</f>
        <v>181800319</v>
      </c>
      <c r="K112" s="532">
        <f t="shared" si="61"/>
        <v>153323642</v>
      </c>
      <c r="L112" s="532">
        <f t="shared" si="61"/>
        <v>153323642</v>
      </c>
      <c r="M112" s="532">
        <f t="shared" si="61"/>
        <v>0</v>
      </c>
      <c r="N112" s="532">
        <f t="shared" si="61"/>
        <v>0</v>
      </c>
      <c r="O112" s="532">
        <f t="shared" si="61"/>
        <v>0</v>
      </c>
      <c r="P112" s="532">
        <f t="shared" si="61"/>
        <v>0</v>
      </c>
      <c r="Q112" s="532">
        <f t="shared" si="61"/>
        <v>0</v>
      </c>
      <c r="R112" s="532">
        <f t="shared" si="61"/>
        <v>0</v>
      </c>
      <c r="S112" s="532">
        <f t="shared" si="61"/>
        <v>0</v>
      </c>
      <c r="T112" s="532">
        <f t="shared" si="61"/>
        <v>0</v>
      </c>
      <c r="U112" s="532">
        <f t="shared" si="61"/>
        <v>0</v>
      </c>
      <c r="V112" s="532">
        <f t="shared" si="61"/>
        <v>0</v>
      </c>
      <c r="W112" s="532">
        <f t="shared" si="61"/>
        <v>0</v>
      </c>
      <c r="X112" s="532">
        <f t="shared" si="61"/>
        <v>0</v>
      </c>
      <c r="Y112" s="532">
        <f t="shared" si="61"/>
        <v>200000000</v>
      </c>
      <c r="Z112" s="532">
        <f t="shared" si="61"/>
        <v>181800319</v>
      </c>
      <c r="AA112" s="532">
        <f t="shared" si="61"/>
        <v>153323642</v>
      </c>
      <c r="AB112" s="532">
        <f t="shared" si="61"/>
        <v>153323642</v>
      </c>
      <c r="AC112" s="37"/>
    </row>
    <row r="113" spans="1:29" ht="16.5" thickTop="1" thickBot="1" x14ac:dyDescent="0.3">
      <c r="A113" s="58">
        <v>3</v>
      </c>
      <c r="B113" s="58" t="s">
        <v>139</v>
      </c>
      <c r="C113" s="58" t="s">
        <v>183</v>
      </c>
      <c r="D113" s="58" t="s">
        <v>145</v>
      </c>
      <c r="E113" s="58" t="s">
        <v>129</v>
      </c>
      <c r="F113" s="58"/>
      <c r="G113" s="58"/>
      <c r="H113" s="69" t="s">
        <v>319</v>
      </c>
      <c r="I113" s="532">
        <f>+I114</f>
        <v>200000000</v>
      </c>
      <c r="J113" s="532">
        <f t="shared" si="61"/>
        <v>181800319</v>
      </c>
      <c r="K113" s="532">
        <f t="shared" si="61"/>
        <v>153323642</v>
      </c>
      <c r="L113" s="532">
        <f t="shared" si="61"/>
        <v>153323642</v>
      </c>
      <c r="M113" s="532">
        <f t="shared" si="61"/>
        <v>0</v>
      </c>
      <c r="N113" s="532">
        <f t="shared" si="61"/>
        <v>0</v>
      </c>
      <c r="O113" s="532">
        <f t="shared" si="61"/>
        <v>0</v>
      </c>
      <c r="P113" s="532">
        <f t="shared" si="61"/>
        <v>0</v>
      </c>
      <c r="Q113" s="532">
        <f t="shared" si="61"/>
        <v>0</v>
      </c>
      <c r="R113" s="532">
        <f t="shared" si="61"/>
        <v>0</v>
      </c>
      <c r="S113" s="532">
        <f t="shared" si="61"/>
        <v>0</v>
      </c>
      <c r="T113" s="532">
        <f t="shared" si="61"/>
        <v>0</v>
      </c>
      <c r="U113" s="532">
        <f t="shared" si="61"/>
        <v>0</v>
      </c>
      <c r="V113" s="532">
        <f t="shared" si="61"/>
        <v>0</v>
      </c>
      <c r="W113" s="532">
        <f t="shared" si="61"/>
        <v>0</v>
      </c>
      <c r="X113" s="532">
        <f t="shared" si="61"/>
        <v>0</v>
      </c>
      <c r="Y113" s="532">
        <f t="shared" si="61"/>
        <v>200000000</v>
      </c>
      <c r="Z113" s="532">
        <f t="shared" si="61"/>
        <v>181800319</v>
      </c>
      <c r="AA113" s="532">
        <f t="shared" si="61"/>
        <v>153323642</v>
      </c>
      <c r="AB113" s="532">
        <f t="shared" si="61"/>
        <v>153323642</v>
      </c>
      <c r="AC113" s="37"/>
    </row>
    <row r="114" spans="1:29" ht="16.5" thickTop="1" thickBot="1" x14ac:dyDescent="0.3">
      <c r="A114" s="43">
        <v>2</v>
      </c>
      <c r="B114" s="43" t="s">
        <v>139</v>
      </c>
      <c r="C114" s="44" t="s">
        <v>183</v>
      </c>
      <c r="D114" s="44" t="s">
        <v>145</v>
      </c>
      <c r="E114" s="44" t="s">
        <v>129</v>
      </c>
      <c r="F114" s="44" t="s">
        <v>129</v>
      </c>
      <c r="G114" s="43"/>
      <c r="H114" s="70" t="s">
        <v>320</v>
      </c>
      <c r="I114" s="525">
        <f>+I115</f>
        <v>200000000</v>
      </c>
      <c r="J114" s="525">
        <f t="shared" si="61"/>
        <v>181800319</v>
      </c>
      <c r="K114" s="525">
        <f t="shared" si="61"/>
        <v>153323642</v>
      </c>
      <c r="L114" s="525">
        <f t="shared" si="61"/>
        <v>153323642</v>
      </c>
      <c r="M114" s="525">
        <f t="shared" si="61"/>
        <v>0</v>
      </c>
      <c r="N114" s="525">
        <f t="shared" si="61"/>
        <v>0</v>
      </c>
      <c r="O114" s="525">
        <f t="shared" si="61"/>
        <v>0</v>
      </c>
      <c r="P114" s="525">
        <f t="shared" si="61"/>
        <v>0</v>
      </c>
      <c r="Q114" s="525">
        <f t="shared" si="61"/>
        <v>0</v>
      </c>
      <c r="R114" s="525">
        <f t="shared" si="61"/>
        <v>0</v>
      </c>
      <c r="S114" s="525">
        <f t="shared" si="61"/>
        <v>0</v>
      </c>
      <c r="T114" s="525">
        <f t="shared" si="61"/>
        <v>0</v>
      </c>
      <c r="U114" s="525">
        <f t="shared" si="61"/>
        <v>0</v>
      </c>
      <c r="V114" s="525">
        <f t="shared" si="61"/>
        <v>0</v>
      </c>
      <c r="W114" s="525">
        <f t="shared" si="61"/>
        <v>0</v>
      </c>
      <c r="X114" s="525">
        <f t="shared" si="61"/>
        <v>0</v>
      </c>
      <c r="Y114" s="525">
        <f t="shared" si="61"/>
        <v>200000000</v>
      </c>
      <c r="Z114" s="525">
        <f t="shared" si="61"/>
        <v>181800319</v>
      </c>
      <c r="AA114" s="525">
        <f t="shared" si="61"/>
        <v>153323642</v>
      </c>
      <c r="AB114" s="525">
        <f t="shared" si="61"/>
        <v>153323642</v>
      </c>
      <c r="AC114" s="37"/>
    </row>
    <row r="115" spans="1:29" ht="16.5" thickTop="1" thickBot="1" x14ac:dyDescent="0.3">
      <c r="A115" s="43">
        <v>2</v>
      </c>
      <c r="B115" s="43" t="s">
        <v>139</v>
      </c>
      <c r="C115" s="44" t="s">
        <v>183</v>
      </c>
      <c r="D115" s="44" t="s">
        <v>145</v>
      </c>
      <c r="E115" s="44" t="s">
        <v>129</v>
      </c>
      <c r="F115" s="44" t="s">
        <v>129</v>
      </c>
      <c r="G115" s="44" t="s">
        <v>129</v>
      </c>
      <c r="H115" s="70" t="s">
        <v>321</v>
      </c>
      <c r="I115" s="525">
        <v>200000000</v>
      </c>
      <c r="J115" s="525">
        <v>181800319</v>
      </c>
      <c r="K115" s="525">
        <v>153323642</v>
      </c>
      <c r="L115" s="525">
        <v>153323642</v>
      </c>
      <c r="M115" s="525"/>
      <c r="N115" s="525"/>
      <c r="O115" s="525"/>
      <c r="P115" s="525"/>
      <c r="Q115" s="525"/>
      <c r="R115" s="525"/>
      <c r="S115" s="525"/>
      <c r="T115" s="525"/>
      <c r="U115" s="525"/>
      <c r="V115" s="525"/>
      <c r="W115" s="525"/>
      <c r="X115" s="525"/>
      <c r="Y115" s="525">
        <f t="shared" ref="Y115:AB115" si="62">+I115+M115+Q115+U115</f>
        <v>200000000</v>
      </c>
      <c r="Z115" s="525">
        <f t="shared" si="62"/>
        <v>181800319</v>
      </c>
      <c r="AA115" s="525">
        <f t="shared" si="62"/>
        <v>153323642</v>
      </c>
      <c r="AB115" s="525">
        <f t="shared" si="62"/>
        <v>153323642</v>
      </c>
      <c r="AC115" s="37"/>
    </row>
    <row r="116" spans="1:29" ht="16.5" thickTop="1" thickBot="1" x14ac:dyDescent="0.3">
      <c r="A116" s="58">
        <v>2</v>
      </c>
      <c r="B116" s="58" t="s">
        <v>139</v>
      </c>
      <c r="C116" s="58" t="s">
        <v>183</v>
      </c>
      <c r="D116" s="58" t="s">
        <v>146</v>
      </c>
      <c r="E116" s="58"/>
      <c r="F116" s="58"/>
      <c r="G116" s="58"/>
      <c r="H116" s="69" t="s">
        <v>1076</v>
      </c>
      <c r="I116" s="532">
        <f>+I117</f>
        <v>0</v>
      </c>
      <c r="J116" s="532">
        <f t="shared" ref="J116:AB118" si="63">+J117</f>
        <v>0</v>
      </c>
      <c r="K116" s="532">
        <f t="shared" si="63"/>
        <v>0</v>
      </c>
      <c r="L116" s="532">
        <f t="shared" si="63"/>
        <v>0</v>
      </c>
      <c r="M116" s="532">
        <f t="shared" si="63"/>
        <v>0</v>
      </c>
      <c r="N116" s="532">
        <f t="shared" si="63"/>
        <v>0</v>
      </c>
      <c r="O116" s="532">
        <f t="shared" si="63"/>
        <v>0</v>
      </c>
      <c r="P116" s="532">
        <f t="shared" si="63"/>
        <v>0</v>
      </c>
      <c r="Q116" s="532">
        <f t="shared" si="63"/>
        <v>0</v>
      </c>
      <c r="R116" s="532">
        <f t="shared" si="63"/>
        <v>0</v>
      </c>
      <c r="S116" s="532">
        <f t="shared" si="63"/>
        <v>0</v>
      </c>
      <c r="T116" s="532">
        <f t="shared" si="63"/>
        <v>0</v>
      </c>
      <c r="U116" s="532">
        <f t="shared" si="63"/>
        <v>0</v>
      </c>
      <c r="V116" s="532">
        <f t="shared" si="63"/>
        <v>0</v>
      </c>
      <c r="W116" s="532">
        <f t="shared" si="63"/>
        <v>0</v>
      </c>
      <c r="X116" s="532">
        <f t="shared" si="63"/>
        <v>0</v>
      </c>
      <c r="Y116" s="532">
        <f t="shared" si="63"/>
        <v>0</v>
      </c>
      <c r="Z116" s="532">
        <f t="shared" si="63"/>
        <v>0</v>
      </c>
      <c r="AA116" s="532">
        <f t="shared" si="63"/>
        <v>0</v>
      </c>
      <c r="AB116" s="532">
        <f t="shared" si="63"/>
        <v>0</v>
      </c>
      <c r="AC116" s="37"/>
    </row>
    <row r="117" spans="1:29" ht="16.5" thickTop="1" thickBot="1" x14ac:dyDescent="0.3">
      <c r="A117" s="58">
        <v>3</v>
      </c>
      <c r="B117" s="58" t="s">
        <v>139</v>
      </c>
      <c r="C117" s="58" t="s">
        <v>183</v>
      </c>
      <c r="D117" s="58" t="s">
        <v>146</v>
      </c>
      <c r="E117" s="58" t="s">
        <v>129</v>
      </c>
      <c r="F117" s="58"/>
      <c r="G117" s="58"/>
      <c r="H117" s="69" t="s">
        <v>319</v>
      </c>
      <c r="I117" s="532">
        <f>+I118</f>
        <v>0</v>
      </c>
      <c r="J117" s="532">
        <f t="shared" si="63"/>
        <v>0</v>
      </c>
      <c r="K117" s="532">
        <f t="shared" si="63"/>
        <v>0</v>
      </c>
      <c r="L117" s="532">
        <f t="shared" si="63"/>
        <v>0</v>
      </c>
      <c r="M117" s="532">
        <f t="shared" si="63"/>
        <v>0</v>
      </c>
      <c r="N117" s="532">
        <f t="shared" si="63"/>
        <v>0</v>
      </c>
      <c r="O117" s="532">
        <f t="shared" si="63"/>
        <v>0</v>
      </c>
      <c r="P117" s="532">
        <f t="shared" si="63"/>
        <v>0</v>
      </c>
      <c r="Q117" s="532">
        <f t="shared" si="63"/>
        <v>0</v>
      </c>
      <c r="R117" s="532">
        <f t="shared" si="63"/>
        <v>0</v>
      </c>
      <c r="S117" s="532">
        <f t="shared" si="63"/>
        <v>0</v>
      </c>
      <c r="T117" s="532">
        <f t="shared" si="63"/>
        <v>0</v>
      </c>
      <c r="U117" s="532">
        <f t="shared" si="63"/>
        <v>0</v>
      </c>
      <c r="V117" s="532">
        <f t="shared" si="63"/>
        <v>0</v>
      </c>
      <c r="W117" s="532">
        <f t="shared" si="63"/>
        <v>0</v>
      </c>
      <c r="X117" s="532">
        <f t="shared" si="63"/>
        <v>0</v>
      </c>
      <c r="Y117" s="532">
        <f t="shared" si="63"/>
        <v>0</v>
      </c>
      <c r="Z117" s="532">
        <f t="shared" si="63"/>
        <v>0</v>
      </c>
      <c r="AA117" s="532">
        <f t="shared" si="63"/>
        <v>0</v>
      </c>
      <c r="AB117" s="532">
        <f t="shared" si="63"/>
        <v>0</v>
      </c>
      <c r="AC117" s="37"/>
    </row>
    <row r="118" spans="1:29" ht="16.5" thickTop="1" thickBot="1" x14ac:dyDescent="0.3">
      <c r="A118" s="43">
        <v>2</v>
      </c>
      <c r="B118" s="43" t="s">
        <v>139</v>
      </c>
      <c r="C118" s="44" t="s">
        <v>183</v>
      </c>
      <c r="D118" s="44" t="s">
        <v>146</v>
      </c>
      <c r="E118" s="44" t="s">
        <v>129</v>
      </c>
      <c r="F118" s="44" t="s">
        <v>129</v>
      </c>
      <c r="G118" s="43"/>
      <c r="H118" s="70" t="s">
        <v>320</v>
      </c>
      <c r="I118" s="525">
        <f>+I119</f>
        <v>0</v>
      </c>
      <c r="J118" s="525">
        <f t="shared" si="63"/>
        <v>0</v>
      </c>
      <c r="K118" s="525">
        <f t="shared" si="63"/>
        <v>0</v>
      </c>
      <c r="L118" s="525">
        <f t="shared" si="63"/>
        <v>0</v>
      </c>
      <c r="M118" s="525">
        <f t="shared" si="63"/>
        <v>0</v>
      </c>
      <c r="N118" s="525">
        <f t="shared" si="63"/>
        <v>0</v>
      </c>
      <c r="O118" s="525">
        <f t="shared" si="63"/>
        <v>0</v>
      </c>
      <c r="P118" s="525">
        <f t="shared" si="63"/>
        <v>0</v>
      </c>
      <c r="Q118" s="525">
        <f t="shared" si="63"/>
        <v>0</v>
      </c>
      <c r="R118" s="525">
        <f t="shared" si="63"/>
        <v>0</v>
      </c>
      <c r="S118" s="525">
        <f t="shared" si="63"/>
        <v>0</v>
      </c>
      <c r="T118" s="525">
        <f t="shared" si="63"/>
        <v>0</v>
      </c>
      <c r="U118" s="525">
        <f t="shared" si="63"/>
        <v>0</v>
      </c>
      <c r="V118" s="525">
        <f t="shared" si="63"/>
        <v>0</v>
      </c>
      <c r="W118" s="525">
        <f t="shared" si="63"/>
        <v>0</v>
      </c>
      <c r="X118" s="525">
        <f t="shared" si="63"/>
        <v>0</v>
      </c>
      <c r="Y118" s="525">
        <f t="shared" si="63"/>
        <v>0</v>
      </c>
      <c r="Z118" s="525">
        <f t="shared" si="63"/>
        <v>0</v>
      </c>
      <c r="AA118" s="525">
        <f t="shared" si="63"/>
        <v>0</v>
      </c>
      <c r="AB118" s="525">
        <f t="shared" si="63"/>
        <v>0</v>
      </c>
      <c r="AC118" s="37"/>
    </row>
    <row r="119" spans="1:29" ht="16.5" thickTop="1" thickBot="1" x14ac:dyDescent="0.3">
      <c r="A119" s="43">
        <v>2</v>
      </c>
      <c r="B119" s="43" t="s">
        <v>139</v>
      </c>
      <c r="C119" s="44" t="s">
        <v>183</v>
      </c>
      <c r="D119" s="44" t="s">
        <v>146</v>
      </c>
      <c r="E119" s="44" t="s">
        <v>129</v>
      </c>
      <c r="F119" s="44" t="s">
        <v>129</v>
      </c>
      <c r="G119" s="44" t="s">
        <v>129</v>
      </c>
      <c r="H119" s="70" t="s">
        <v>321</v>
      </c>
      <c r="I119" s="525">
        <v>0</v>
      </c>
      <c r="J119" s="525"/>
      <c r="K119" s="525"/>
      <c r="L119" s="525"/>
      <c r="M119" s="525"/>
      <c r="N119" s="525"/>
      <c r="O119" s="525"/>
      <c r="P119" s="525"/>
      <c r="Q119" s="525"/>
      <c r="R119" s="525"/>
      <c r="S119" s="525"/>
      <c r="T119" s="525"/>
      <c r="U119" s="525"/>
      <c r="V119" s="525"/>
      <c r="W119" s="525"/>
      <c r="X119" s="525"/>
      <c r="Y119" s="525">
        <f t="shared" ref="Y119:AB119" si="64">+I119+M119+Q119+U119</f>
        <v>0</v>
      </c>
      <c r="Z119" s="525">
        <f t="shared" si="64"/>
        <v>0</v>
      </c>
      <c r="AA119" s="525">
        <f t="shared" si="64"/>
        <v>0</v>
      </c>
      <c r="AB119" s="525">
        <f t="shared" si="64"/>
        <v>0</v>
      </c>
      <c r="AC119" s="37"/>
    </row>
    <row r="120" spans="1:29" ht="16.5" thickTop="1" thickBot="1" x14ac:dyDescent="0.3">
      <c r="A120" s="67">
        <v>2</v>
      </c>
      <c r="B120" s="38" t="s">
        <v>139</v>
      </c>
      <c r="C120" s="38" t="s">
        <v>183</v>
      </c>
      <c r="D120" s="38"/>
      <c r="E120" s="67"/>
      <c r="F120" s="67"/>
      <c r="G120" s="67"/>
      <c r="H120" s="68" t="s">
        <v>1077</v>
      </c>
      <c r="I120" s="531">
        <f>+I121+I125+I129+I133+I137+I141+I145+I150+I153+I157</f>
        <v>6394000000</v>
      </c>
      <c r="J120" s="531">
        <f t="shared" ref="J120:AB120" si="65">+J121+J125+J129+J133+J137+J141+J145+J150+J153+J157</f>
        <v>5306096496.5799999</v>
      </c>
      <c r="K120" s="531">
        <f t="shared" si="65"/>
        <v>4098867829.7200003</v>
      </c>
      <c r="L120" s="531">
        <f t="shared" si="65"/>
        <v>4075632585.7200003</v>
      </c>
      <c r="M120" s="531">
        <f t="shared" si="65"/>
        <v>0</v>
      </c>
      <c r="N120" s="531">
        <f t="shared" si="65"/>
        <v>0</v>
      </c>
      <c r="O120" s="531">
        <f t="shared" si="65"/>
        <v>0</v>
      </c>
      <c r="P120" s="531">
        <f t="shared" si="65"/>
        <v>0</v>
      </c>
      <c r="Q120" s="531">
        <f t="shared" si="65"/>
        <v>0</v>
      </c>
      <c r="R120" s="531">
        <f t="shared" si="65"/>
        <v>0</v>
      </c>
      <c r="S120" s="531">
        <f t="shared" si="65"/>
        <v>0</v>
      </c>
      <c r="T120" s="531">
        <f t="shared" si="65"/>
        <v>0</v>
      </c>
      <c r="U120" s="531">
        <f t="shared" si="65"/>
        <v>0</v>
      </c>
      <c r="V120" s="531">
        <f t="shared" si="65"/>
        <v>0</v>
      </c>
      <c r="W120" s="531">
        <f t="shared" si="65"/>
        <v>0</v>
      </c>
      <c r="X120" s="531">
        <f t="shared" si="65"/>
        <v>0</v>
      </c>
      <c r="Y120" s="531">
        <f t="shared" si="65"/>
        <v>6394000000</v>
      </c>
      <c r="Z120" s="531">
        <f t="shared" si="65"/>
        <v>5306096496.5799999</v>
      </c>
      <c r="AA120" s="531">
        <f t="shared" si="65"/>
        <v>4098867829.7200003</v>
      </c>
      <c r="AB120" s="531">
        <f t="shared" si="65"/>
        <v>4075632585.7200003</v>
      </c>
      <c r="AC120" s="37"/>
    </row>
    <row r="121" spans="1:29" ht="16.5" thickTop="1" thickBot="1" x14ac:dyDescent="0.3">
      <c r="A121" s="58">
        <v>2</v>
      </c>
      <c r="B121" s="58" t="s">
        <v>139</v>
      </c>
      <c r="C121" s="58" t="s">
        <v>183</v>
      </c>
      <c r="D121" s="58" t="s">
        <v>129</v>
      </c>
      <c r="E121" s="58"/>
      <c r="F121" s="58"/>
      <c r="G121" s="58"/>
      <c r="H121" s="69" t="s">
        <v>1078</v>
      </c>
      <c r="I121" s="532">
        <f>+I122</f>
        <v>630000000</v>
      </c>
      <c r="J121" s="532">
        <f t="shared" ref="J121:Z123" si="66">+J122</f>
        <v>576619318.39999998</v>
      </c>
      <c r="K121" s="532">
        <f t="shared" si="66"/>
        <v>500799213</v>
      </c>
      <c r="L121" s="532">
        <f t="shared" si="66"/>
        <v>485935811</v>
      </c>
      <c r="M121" s="532">
        <f t="shared" si="66"/>
        <v>0</v>
      </c>
      <c r="N121" s="532">
        <f t="shared" si="66"/>
        <v>0</v>
      </c>
      <c r="O121" s="532">
        <f t="shared" si="66"/>
        <v>0</v>
      </c>
      <c r="P121" s="532">
        <f t="shared" si="66"/>
        <v>0</v>
      </c>
      <c r="Q121" s="532">
        <f t="shared" si="66"/>
        <v>0</v>
      </c>
      <c r="R121" s="532">
        <f t="shared" si="66"/>
        <v>0</v>
      </c>
      <c r="S121" s="532">
        <f t="shared" si="66"/>
        <v>0</v>
      </c>
      <c r="T121" s="532">
        <f t="shared" si="66"/>
        <v>0</v>
      </c>
      <c r="U121" s="532">
        <f t="shared" si="66"/>
        <v>0</v>
      </c>
      <c r="V121" s="532">
        <f t="shared" si="66"/>
        <v>0</v>
      </c>
      <c r="W121" s="532">
        <f t="shared" si="66"/>
        <v>0</v>
      </c>
      <c r="X121" s="532">
        <f t="shared" si="66"/>
        <v>0</v>
      </c>
      <c r="Y121" s="532">
        <f t="shared" si="66"/>
        <v>630000000</v>
      </c>
      <c r="Z121" s="532">
        <f t="shared" si="66"/>
        <v>576619318.39999998</v>
      </c>
      <c r="AA121" s="532">
        <f t="shared" ref="AA121:AB123" si="67">+AA122</f>
        <v>500799213</v>
      </c>
      <c r="AB121" s="532">
        <f t="shared" si="67"/>
        <v>485935811</v>
      </c>
      <c r="AC121" s="37"/>
    </row>
    <row r="122" spans="1:29" ht="16.5" thickTop="1" thickBot="1" x14ac:dyDescent="0.3">
      <c r="A122" s="58">
        <v>3</v>
      </c>
      <c r="B122" s="58" t="s">
        <v>139</v>
      </c>
      <c r="C122" s="58" t="s">
        <v>183</v>
      </c>
      <c r="D122" s="58" t="s">
        <v>129</v>
      </c>
      <c r="E122" s="58" t="s">
        <v>129</v>
      </c>
      <c r="F122" s="58"/>
      <c r="G122" s="58"/>
      <c r="H122" s="69" t="s">
        <v>319</v>
      </c>
      <c r="I122" s="532">
        <f>+I123</f>
        <v>630000000</v>
      </c>
      <c r="J122" s="532">
        <f t="shared" si="66"/>
        <v>576619318.39999998</v>
      </c>
      <c r="K122" s="532">
        <f t="shared" si="66"/>
        <v>500799213</v>
      </c>
      <c r="L122" s="532">
        <f t="shared" si="66"/>
        <v>485935811</v>
      </c>
      <c r="M122" s="532">
        <f t="shared" si="66"/>
        <v>0</v>
      </c>
      <c r="N122" s="532">
        <f t="shared" si="66"/>
        <v>0</v>
      </c>
      <c r="O122" s="532">
        <f t="shared" si="66"/>
        <v>0</v>
      </c>
      <c r="P122" s="532">
        <f t="shared" si="66"/>
        <v>0</v>
      </c>
      <c r="Q122" s="532">
        <f t="shared" si="66"/>
        <v>0</v>
      </c>
      <c r="R122" s="532">
        <f t="shared" si="66"/>
        <v>0</v>
      </c>
      <c r="S122" s="532">
        <f t="shared" si="66"/>
        <v>0</v>
      </c>
      <c r="T122" s="532">
        <f t="shared" si="66"/>
        <v>0</v>
      </c>
      <c r="U122" s="532">
        <f t="shared" si="66"/>
        <v>0</v>
      </c>
      <c r="V122" s="532">
        <f t="shared" si="66"/>
        <v>0</v>
      </c>
      <c r="W122" s="532">
        <f t="shared" si="66"/>
        <v>0</v>
      </c>
      <c r="X122" s="532">
        <f t="shared" si="66"/>
        <v>0</v>
      </c>
      <c r="Y122" s="532">
        <f t="shared" si="66"/>
        <v>630000000</v>
      </c>
      <c r="Z122" s="532">
        <f t="shared" si="66"/>
        <v>576619318.39999998</v>
      </c>
      <c r="AA122" s="532">
        <f t="shared" si="67"/>
        <v>500799213</v>
      </c>
      <c r="AB122" s="532">
        <f t="shared" si="67"/>
        <v>485935811</v>
      </c>
      <c r="AC122" s="37"/>
    </row>
    <row r="123" spans="1:29" ht="16.5" thickTop="1" thickBot="1" x14ac:dyDescent="0.3">
      <c r="A123" s="43">
        <v>2</v>
      </c>
      <c r="B123" s="43" t="s">
        <v>139</v>
      </c>
      <c r="C123" s="44" t="s">
        <v>183</v>
      </c>
      <c r="D123" s="44" t="s">
        <v>129</v>
      </c>
      <c r="E123" s="44" t="s">
        <v>129</v>
      </c>
      <c r="F123" s="44" t="s">
        <v>129</v>
      </c>
      <c r="G123" s="43"/>
      <c r="H123" s="70" t="s">
        <v>320</v>
      </c>
      <c r="I123" s="525">
        <f>+I124</f>
        <v>630000000</v>
      </c>
      <c r="J123" s="525">
        <f t="shared" si="66"/>
        <v>576619318.39999998</v>
      </c>
      <c r="K123" s="525">
        <f t="shared" si="66"/>
        <v>500799213</v>
      </c>
      <c r="L123" s="525">
        <f t="shared" si="66"/>
        <v>485935811</v>
      </c>
      <c r="M123" s="525">
        <f t="shared" si="66"/>
        <v>0</v>
      </c>
      <c r="N123" s="525">
        <f t="shared" si="66"/>
        <v>0</v>
      </c>
      <c r="O123" s="525">
        <f t="shared" si="66"/>
        <v>0</v>
      </c>
      <c r="P123" s="525">
        <f t="shared" si="66"/>
        <v>0</v>
      </c>
      <c r="Q123" s="525">
        <f t="shared" si="66"/>
        <v>0</v>
      </c>
      <c r="R123" s="525">
        <f t="shared" si="66"/>
        <v>0</v>
      </c>
      <c r="S123" s="525">
        <f t="shared" si="66"/>
        <v>0</v>
      </c>
      <c r="T123" s="525">
        <f t="shared" si="66"/>
        <v>0</v>
      </c>
      <c r="U123" s="525">
        <f t="shared" si="66"/>
        <v>0</v>
      </c>
      <c r="V123" s="525">
        <f t="shared" si="66"/>
        <v>0</v>
      </c>
      <c r="W123" s="525">
        <f t="shared" si="66"/>
        <v>0</v>
      </c>
      <c r="X123" s="525">
        <f t="shared" si="66"/>
        <v>0</v>
      </c>
      <c r="Y123" s="525">
        <f t="shared" si="66"/>
        <v>630000000</v>
      </c>
      <c r="Z123" s="525">
        <f t="shared" si="66"/>
        <v>576619318.39999998</v>
      </c>
      <c r="AA123" s="525">
        <f t="shared" si="67"/>
        <v>500799213</v>
      </c>
      <c r="AB123" s="525">
        <f t="shared" si="67"/>
        <v>485935811</v>
      </c>
      <c r="AC123" s="37"/>
    </row>
    <row r="124" spans="1:29" ht="16.5" thickTop="1" thickBot="1" x14ac:dyDescent="0.3">
      <c r="A124" s="43">
        <v>2</v>
      </c>
      <c r="B124" s="43" t="s">
        <v>139</v>
      </c>
      <c r="C124" s="43" t="s">
        <v>183</v>
      </c>
      <c r="D124" s="43" t="s">
        <v>129</v>
      </c>
      <c r="E124" s="44" t="s">
        <v>129</v>
      </c>
      <c r="F124" s="44" t="s">
        <v>129</v>
      </c>
      <c r="G124" s="44" t="s">
        <v>129</v>
      </c>
      <c r="H124" s="70" t="s">
        <v>321</v>
      </c>
      <c r="I124" s="525">
        <v>630000000</v>
      </c>
      <c r="J124" s="525">
        <v>576619318.39999998</v>
      </c>
      <c r="K124" s="525">
        <v>500799213</v>
      </c>
      <c r="L124" s="525">
        <v>485935811</v>
      </c>
      <c r="M124" s="525"/>
      <c r="N124" s="525"/>
      <c r="O124" s="525"/>
      <c r="P124" s="525"/>
      <c r="Q124" s="525"/>
      <c r="R124" s="525"/>
      <c r="S124" s="525"/>
      <c r="T124" s="525"/>
      <c r="U124" s="525"/>
      <c r="V124" s="525"/>
      <c r="W124" s="525"/>
      <c r="X124" s="525"/>
      <c r="Y124" s="525">
        <f t="shared" ref="Y124:AB124" si="68">+I124+M124+Q124+U124</f>
        <v>630000000</v>
      </c>
      <c r="Z124" s="525">
        <f t="shared" si="68"/>
        <v>576619318.39999998</v>
      </c>
      <c r="AA124" s="525">
        <f t="shared" si="68"/>
        <v>500799213</v>
      </c>
      <c r="AB124" s="525">
        <f t="shared" si="68"/>
        <v>485935811</v>
      </c>
      <c r="AC124" s="37"/>
    </row>
    <row r="125" spans="1:29" ht="16.5" thickTop="1" thickBot="1" x14ac:dyDescent="0.3">
      <c r="A125" s="58">
        <v>2</v>
      </c>
      <c r="B125" s="58" t="s">
        <v>139</v>
      </c>
      <c r="C125" s="58" t="s">
        <v>183</v>
      </c>
      <c r="D125" s="58" t="s">
        <v>134</v>
      </c>
      <c r="E125" s="58"/>
      <c r="F125" s="58"/>
      <c r="G125" s="58"/>
      <c r="H125" s="69" t="s">
        <v>1079</v>
      </c>
      <c r="I125" s="532">
        <f>+I126</f>
        <v>349000000</v>
      </c>
      <c r="J125" s="532">
        <f t="shared" ref="J125:AB127" si="69">+J126</f>
        <v>170793813</v>
      </c>
      <c r="K125" s="532">
        <f t="shared" si="69"/>
        <v>154222709</v>
      </c>
      <c r="L125" s="532">
        <f t="shared" si="69"/>
        <v>154222709</v>
      </c>
      <c r="M125" s="532">
        <f t="shared" si="69"/>
        <v>0</v>
      </c>
      <c r="N125" s="532">
        <f t="shared" si="69"/>
        <v>0</v>
      </c>
      <c r="O125" s="532">
        <f t="shared" si="69"/>
        <v>0</v>
      </c>
      <c r="P125" s="532">
        <f t="shared" si="69"/>
        <v>0</v>
      </c>
      <c r="Q125" s="532">
        <f t="shared" si="69"/>
        <v>0</v>
      </c>
      <c r="R125" s="532">
        <f t="shared" si="69"/>
        <v>0</v>
      </c>
      <c r="S125" s="532">
        <f t="shared" si="69"/>
        <v>0</v>
      </c>
      <c r="T125" s="532">
        <f t="shared" si="69"/>
        <v>0</v>
      </c>
      <c r="U125" s="532">
        <f t="shared" si="69"/>
        <v>0</v>
      </c>
      <c r="V125" s="532">
        <f t="shared" si="69"/>
        <v>0</v>
      </c>
      <c r="W125" s="532">
        <f t="shared" si="69"/>
        <v>0</v>
      </c>
      <c r="X125" s="532">
        <f t="shared" si="69"/>
        <v>0</v>
      </c>
      <c r="Y125" s="532">
        <f t="shared" si="69"/>
        <v>349000000</v>
      </c>
      <c r="Z125" s="532">
        <f t="shared" si="69"/>
        <v>170793813</v>
      </c>
      <c r="AA125" s="532">
        <f t="shared" si="69"/>
        <v>154222709</v>
      </c>
      <c r="AB125" s="532">
        <f t="shared" si="69"/>
        <v>154222709</v>
      </c>
      <c r="AC125" s="37"/>
    </row>
    <row r="126" spans="1:29" ht="16.5" thickTop="1" thickBot="1" x14ac:dyDescent="0.3">
      <c r="A126" s="58">
        <v>3</v>
      </c>
      <c r="B126" s="58" t="s">
        <v>139</v>
      </c>
      <c r="C126" s="58" t="s">
        <v>183</v>
      </c>
      <c r="D126" s="58" t="s">
        <v>134</v>
      </c>
      <c r="E126" s="58" t="s">
        <v>129</v>
      </c>
      <c r="F126" s="58"/>
      <c r="G126" s="58"/>
      <c r="H126" s="69" t="s">
        <v>319</v>
      </c>
      <c r="I126" s="532">
        <f>+I127</f>
        <v>349000000</v>
      </c>
      <c r="J126" s="532">
        <f t="shared" si="69"/>
        <v>170793813</v>
      </c>
      <c r="K126" s="532">
        <f t="shared" si="69"/>
        <v>154222709</v>
      </c>
      <c r="L126" s="532">
        <f t="shared" si="69"/>
        <v>154222709</v>
      </c>
      <c r="M126" s="532">
        <f t="shared" si="69"/>
        <v>0</v>
      </c>
      <c r="N126" s="532">
        <f t="shared" si="69"/>
        <v>0</v>
      </c>
      <c r="O126" s="532">
        <f t="shared" si="69"/>
        <v>0</v>
      </c>
      <c r="P126" s="532">
        <f t="shared" si="69"/>
        <v>0</v>
      </c>
      <c r="Q126" s="532">
        <f t="shared" si="69"/>
        <v>0</v>
      </c>
      <c r="R126" s="532">
        <f t="shared" si="69"/>
        <v>0</v>
      </c>
      <c r="S126" s="532">
        <f t="shared" si="69"/>
        <v>0</v>
      </c>
      <c r="T126" s="532">
        <f t="shared" si="69"/>
        <v>0</v>
      </c>
      <c r="U126" s="532">
        <f t="shared" si="69"/>
        <v>0</v>
      </c>
      <c r="V126" s="532">
        <f t="shared" si="69"/>
        <v>0</v>
      </c>
      <c r="W126" s="532">
        <f t="shared" si="69"/>
        <v>0</v>
      </c>
      <c r="X126" s="532">
        <f t="shared" si="69"/>
        <v>0</v>
      </c>
      <c r="Y126" s="532">
        <f t="shared" si="69"/>
        <v>349000000</v>
      </c>
      <c r="Z126" s="532">
        <f t="shared" si="69"/>
        <v>170793813</v>
      </c>
      <c r="AA126" s="532">
        <f t="shared" si="69"/>
        <v>154222709</v>
      </c>
      <c r="AB126" s="532">
        <f t="shared" si="69"/>
        <v>154222709</v>
      </c>
      <c r="AC126" s="37"/>
    </row>
    <row r="127" spans="1:29" ht="16.5" thickTop="1" thickBot="1" x14ac:dyDescent="0.3">
      <c r="A127" s="43">
        <v>2</v>
      </c>
      <c r="B127" s="43" t="s">
        <v>139</v>
      </c>
      <c r="C127" s="44" t="s">
        <v>183</v>
      </c>
      <c r="D127" s="44" t="s">
        <v>134</v>
      </c>
      <c r="E127" s="44" t="s">
        <v>129</v>
      </c>
      <c r="F127" s="44" t="s">
        <v>129</v>
      </c>
      <c r="G127" s="43"/>
      <c r="H127" s="70" t="s">
        <v>320</v>
      </c>
      <c r="I127" s="525">
        <f>+I128</f>
        <v>349000000</v>
      </c>
      <c r="J127" s="525">
        <f t="shared" si="69"/>
        <v>170793813</v>
      </c>
      <c r="K127" s="525">
        <f t="shared" si="69"/>
        <v>154222709</v>
      </c>
      <c r="L127" s="525">
        <f t="shared" si="69"/>
        <v>154222709</v>
      </c>
      <c r="M127" s="525">
        <f t="shared" si="69"/>
        <v>0</v>
      </c>
      <c r="N127" s="525">
        <f t="shared" si="69"/>
        <v>0</v>
      </c>
      <c r="O127" s="525">
        <f t="shared" si="69"/>
        <v>0</v>
      </c>
      <c r="P127" s="525">
        <f t="shared" si="69"/>
        <v>0</v>
      </c>
      <c r="Q127" s="525">
        <f t="shared" si="69"/>
        <v>0</v>
      </c>
      <c r="R127" s="525">
        <f t="shared" si="69"/>
        <v>0</v>
      </c>
      <c r="S127" s="525">
        <f t="shared" si="69"/>
        <v>0</v>
      </c>
      <c r="T127" s="525">
        <f t="shared" si="69"/>
        <v>0</v>
      </c>
      <c r="U127" s="525">
        <f t="shared" si="69"/>
        <v>0</v>
      </c>
      <c r="V127" s="525">
        <f t="shared" si="69"/>
        <v>0</v>
      </c>
      <c r="W127" s="525">
        <f t="shared" si="69"/>
        <v>0</v>
      </c>
      <c r="X127" s="525">
        <f t="shared" si="69"/>
        <v>0</v>
      </c>
      <c r="Y127" s="525">
        <f t="shared" si="69"/>
        <v>349000000</v>
      </c>
      <c r="Z127" s="525">
        <f t="shared" si="69"/>
        <v>170793813</v>
      </c>
      <c r="AA127" s="525">
        <f t="shared" si="69"/>
        <v>154222709</v>
      </c>
      <c r="AB127" s="525">
        <f t="shared" si="69"/>
        <v>154222709</v>
      </c>
      <c r="AC127" s="37"/>
    </row>
    <row r="128" spans="1:29" ht="16.5" thickTop="1" thickBot="1" x14ac:dyDescent="0.3">
      <c r="A128" s="43">
        <v>2</v>
      </c>
      <c r="B128" s="43" t="s">
        <v>139</v>
      </c>
      <c r="C128" s="44" t="s">
        <v>183</v>
      </c>
      <c r="D128" s="44" t="s">
        <v>134</v>
      </c>
      <c r="E128" s="44" t="s">
        <v>129</v>
      </c>
      <c r="F128" s="44" t="s">
        <v>129</v>
      </c>
      <c r="G128" s="44" t="s">
        <v>129</v>
      </c>
      <c r="H128" s="70" t="s">
        <v>321</v>
      </c>
      <c r="I128" s="525">
        <v>349000000</v>
      </c>
      <c r="J128" s="525">
        <v>170793813</v>
      </c>
      <c r="K128" s="525">
        <v>154222709</v>
      </c>
      <c r="L128" s="525">
        <v>154222709</v>
      </c>
      <c r="M128" s="525"/>
      <c r="N128" s="525"/>
      <c r="O128" s="525"/>
      <c r="P128" s="525"/>
      <c r="Q128" s="525"/>
      <c r="R128" s="525"/>
      <c r="S128" s="525"/>
      <c r="T128" s="525"/>
      <c r="U128" s="525"/>
      <c r="V128" s="525"/>
      <c r="W128" s="525"/>
      <c r="X128" s="525"/>
      <c r="Y128" s="525">
        <f t="shared" ref="Y128:AB128" si="70">+I128+M128+Q128+U128</f>
        <v>349000000</v>
      </c>
      <c r="Z128" s="525">
        <f t="shared" si="70"/>
        <v>170793813</v>
      </c>
      <c r="AA128" s="525">
        <f t="shared" si="70"/>
        <v>154222709</v>
      </c>
      <c r="AB128" s="525">
        <f t="shared" si="70"/>
        <v>154222709</v>
      </c>
      <c r="AC128" s="37"/>
    </row>
    <row r="129" spans="1:29" ht="16.5" thickTop="1" thickBot="1" x14ac:dyDescent="0.3">
      <c r="A129" s="58">
        <v>2</v>
      </c>
      <c r="B129" s="58" t="s">
        <v>139</v>
      </c>
      <c r="C129" s="58" t="s">
        <v>183</v>
      </c>
      <c r="D129" s="58" t="s">
        <v>139</v>
      </c>
      <c r="E129" s="58"/>
      <c r="F129" s="58"/>
      <c r="G129" s="58"/>
      <c r="H129" s="69" t="s">
        <v>1080</v>
      </c>
      <c r="I129" s="532">
        <f>+I130</f>
        <v>1300000000</v>
      </c>
      <c r="J129" s="532">
        <f t="shared" ref="J129:AB131" si="71">+J130</f>
        <v>1068130934</v>
      </c>
      <c r="K129" s="532">
        <f t="shared" si="71"/>
        <v>924899955</v>
      </c>
      <c r="L129" s="532">
        <f t="shared" si="71"/>
        <v>922528113</v>
      </c>
      <c r="M129" s="532">
        <f t="shared" si="71"/>
        <v>0</v>
      </c>
      <c r="N129" s="532">
        <f t="shared" si="71"/>
        <v>0</v>
      </c>
      <c r="O129" s="532">
        <f t="shared" si="71"/>
        <v>0</v>
      </c>
      <c r="P129" s="532">
        <f t="shared" si="71"/>
        <v>0</v>
      </c>
      <c r="Q129" s="532">
        <f t="shared" si="71"/>
        <v>0</v>
      </c>
      <c r="R129" s="532">
        <f t="shared" si="71"/>
        <v>0</v>
      </c>
      <c r="S129" s="532">
        <f t="shared" si="71"/>
        <v>0</v>
      </c>
      <c r="T129" s="532">
        <f t="shared" si="71"/>
        <v>0</v>
      </c>
      <c r="U129" s="532">
        <f t="shared" si="71"/>
        <v>0</v>
      </c>
      <c r="V129" s="532">
        <f t="shared" si="71"/>
        <v>0</v>
      </c>
      <c r="W129" s="532">
        <f t="shared" si="71"/>
        <v>0</v>
      </c>
      <c r="X129" s="532">
        <f t="shared" si="71"/>
        <v>0</v>
      </c>
      <c r="Y129" s="532">
        <f t="shared" si="71"/>
        <v>1300000000</v>
      </c>
      <c r="Z129" s="532">
        <f t="shared" si="71"/>
        <v>1068130934</v>
      </c>
      <c r="AA129" s="532">
        <f t="shared" si="71"/>
        <v>924899955</v>
      </c>
      <c r="AB129" s="532">
        <f t="shared" si="71"/>
        <v>922528113</v>
      </c>
      <c r="AC129" s="37"/>
    </row>
    <row r="130" spans="1:29" ht="16.5" thickTop="1" thickBot="1" x14ac:dyDescent="0.3">
      <c r="A130" s="58">
        <v>3</v>
      </c>
      <c r="B130" s="58" t="s">
        <v>139</v>
      </c>
      <c r="C130" s="58" t="s">
        <v>183</v>
      </c>
      <c r="D130" s="58" t="s">
        <v>139</v>
      </c>
      <c r="E130" s="58" t="s">
        <v>129</v>
      </c>
      <c r="F130" s="58"/>
      <c r="G130" s="58"/>
      <c r="H130" s="69" t="s">
        <v>319</v>
      </c>
      <c r="I130" s="532">
        <f>+I131</f>
        <v>1300000000</v>
      </c>
      <c r="J130" s="532">
        <f t="shared" si="71"/>
        <v>1068130934</v>
      </c>
      <c r="K130" s="532">
        <f t="shared" si="71"/>
        <v>924899955</v>
      </c>
      <c r="L130" s="532">
        <f t="shared" si="71"/>
        <v>922528113</v>
      </c>
      <c r="M130" s="532">
        <f t="shared" si="71"/>
        <v>0</v>
      </c>
      <c r="N130" s="532">
        <f t="shared" si="71"/>
        <v>0</v>
      </c>
      <c r="O130" s="532">
        <f t="shared" si="71"/>
        <v>0</v>
      </c>
      <c r="P130" s="532">
        <f t="shared" si="71"/>
        <v>0</v>
      </c>
      <c r="Q130" s="532">
        <f t="shared" si="71"/>
        <v>0</v>
      </c>
      <c r="R130" s="532">
        <f t="shared" si="71"/>
        <v>0</v>
      </c>
      <c r="S130" s="532">
        <f t="shared" si="71"/>
        <v>0</v>
      </c>
      <c r="T130" s="532">
        <f t="shared" si="71"/>
        <v>0</v>
      </c>
      <c r="U130" s="532">
        <f t="shared" si="71"/>
        <v>0</v>
      </c>
      <c r="V130" s="532">
        <f t="shared" si="71"/>
        <v>0</v>
      </c>
      <c r="W130" s="532">
        <f t="shared" si="71"/>
        <v>0</v>
      </c>
      <c r="X130" s="532">
        <f t="shared" si="71"/>
        <v>0</v>
      </c>
      <c r="Y130" s="532">
        <f t="shared" si="71"/>
        <v>1300000000</v>
      </c>
      <c r="Z130" s="532">
        <f t="shared" si="71"/>
        <v>1068130934</v>
      </c>
      <c r="AA130" s="532">
        <f t="shared" si="71"/>
        <v>924899955</v>
      </c>
      <c r="AB130" s="532">
        <f t="shared" si="71"/>
        <v>922528113</v>
      </c>
      <c r="AC130" s="37"/>
    </row>
    <row r="131" spans="1:29" ht="16.5" thickTop="1" thickBot="1" x14ac:dyDescent="0.3">
      <c r="A131" s="43">
        <v>2</v>
      </c>
      <c r="B131" s="43" t="s">
        <v>139</v>
      </c>
      <c r="C131" s="44" t="s">
        <v>183</v>
      </c>
      <c r="D131" s="44" t="s">
        <v>139</v>
      </c>
      <c r="E131" s="44" t="s">
        <v>129</v>
      </c>
      <c r="F131" s="44" t="s">
        <v>129</v>
      </c>
      <c r="G131" s="43"/>
      <c r="H131" s="70" t="s">
        <v>320</v>
      </c>
      <c r="I131" s="525">
        <f>+I132</f>
        <v>1300000000</v>
      </c>
      <c r="J131" s="525">
        <f t="shared" si="71"/>
        <v>1068130934</v>
      </c>
      <c r="K131" s="525">
        <f t="shared" si="71"/>
        <v>924899955</v>
      </c>
      <c r="L131" s="525">
        <f t="shared" si="71"/>
        <v>922528113</v>
      </c>
      <c r="M131" s="525">
        <f t="shared" si="71"/>
        <v>0</v>
      </c>
      <c r="N131" s="525">
        <f t="shared" si="71"/>
        <v>0</v>
      </c>
      <c r="O131" s="525">
        <f t="shared" si="71"/>
        <v>0</v>
      </c>
      <c r="P131" s="525">
        <f t="shared" si="71"/>
        <v>0</v>
      </c>
      <c r="Q131" s="525">
        <f t="shared" si="71"/>
        <v>0</v>
      </c>
      <c r="R131" s="525">
        <f t="shared" si="71"/>
        <v>0</v>
      </c>
      <c r="S131" s="525">
        <f t="shared" si="71"/>
        <v>0</v>
      </c>
      <c r="T131" s="525">
        <f t="shared" si="71"/>
        <v>0</v>
      </c>
      <c r="U131" s="525">
        <f t="shared" si="71"/>
        <v>0</v>
      </c>
      <c r="V131" s="525">
        <f t="shared" si="71"/>
        <v>0</v>
      </c>
      <c r="W131" s="525">
        <f t="shared" si="71"/>
        <v>0</v>
      </c>
      <c r="X131" s="525">
        <f t="shared" si="71"/>
        <v>0</v>
      </c>
      <c r="Y131" s="525">
        <f t="shared" si="71"/>
        <v>1300000000</v>
      </c>
      <c r="Z131" s="525">
        <f t="shared" si="71"/>
        <v>1068130934</v>
      </c>
      <c r="AA131" s="525">
        <f t="shared" si="71"/>
        <v>924899955</v>
      </c>
      <c r="AB131" s="525">
        <f t="shared" si="71"/>
        <v>922528113</v>
      </c>
      <c r="AC131" s="37"/>
    </row>
    <row r="132" spans="1:29" ht="16.5" thickTop="1" thickBot="1" x14ac:dyDescent="0.3">
      <c r="A132" s="43">
        <v>2</v>
      </c>
      <c r="B132" s="43" t="s">
        <v>139</v>
      </c>
      <c r="C132" s="44" t="s">
        <v>183</v>
      </c>
      <c r="D132" s="44" t="s">
        <v>139</v>
      </c>
      <c r="E132" s="44" t="s">
        <v>129</v>
      </c>
      <c r="F132" s="44" t="s">
        <v>129</v>
      </c>
      <c r="G132" s="44" t="s">
        <v>129</v>
      </c>
      <c r="H132" s="70" t="s">
        <v>321</v>
      </c>
      <c r="I132" s="525">
        <v>1300000000</v>
      </c>
      <c r="J132" s="525">
        <v>1068130934</v>
      </c>
      <c r="K132" s="525">
        <v>924899955</v>
      </c>
      <c r="L132" s="525">
        <v>922528113</v>
      </c>
      <c r="M132" s="525"/>
      <c r="N132" s="525"/>
      <c r="O132" s="525"/>
      <c r="P132" s="525"/>
      <c r="Q132" s="525"/>
      <c r="R132" s="525"/>
      <c r="S132" s="525"/>
      <c r="T132" s="525"/>
      <c r="U132" s="525"/>
      <c r="V132" s="525"/>
      <c r="W132" s="525"/>
      <c r="X132" s="525"/>
      <c r="Y132" s="525">
        <f t="shared" ref="Y132:AB132" si="72">+I132+M132+Q132+U132</f>
        <v>1300000000</v>
      </c>
      <c r="Z132" s="525">
        <f t="shared" si="72"/>
        <v>1068130934</v>
      </c>
      <c r="AA132" s="525">
        <f t="shared" si="72"/>
        <v>924899955</v>
      </c>
      <c r="AB132" s="525">
        <f t="shared" si="72"/>
        <v>922528113</v>
      </c>
      <c r="AC132" s="37"/>
    </row>
    <row r="133" spans="1:29" ht="16.5" thickTop="1" thickBot="1" x14ac:dyDescent="0.3">
      <c r="A133" s="58">
        <v>2</v>
      </c>
      <c r="B133" s="58" t="s">
        <v>139</v>
      </c>
      <c r="C133" s="58" t="s">
        <v>183</v>
      </c>
      <c r="D133" s="58" t="s">
        <v>140</v>
      </c>
      <c r="E133" s="58"/>
      <c r="F133" s="58"/>
      <c r="G133" s="58"/>
      <c r="H133" s="69" t="s">
        <v>1081</v>
      </c>
      <c r="I133" s="532">
        <f>+I134</f>
        <v>420000000</v>
      </c>
      <c r="J133" s="532">
        <f t="shared" ref="J133:AB135" si="73">+J134</f>
        <v>412454675.72000003</v>
      </c>
      <c r="K133" s="532">
        <f t="shared" si="73"/>
        <v>378268839.72000003</v>
      </c>
      <c r="L133" s="532">
        <f t="shared" si="73"/>
        <v>378268839.72000003</v>
      </c>
      <c r="M133" s="532">
        <f t="shared" si="73"/>
        <v>0</v>
      </c>
      <c r="N133" s="532">
        <f t="shared" si="73"/>
        <v>0</v>
      </c>
      <c r="O133" s="532">
        <f t="shared" si="73"/>
        <v>0</v>
      </c>
      <c r="P133" s="532">
        <f t="shared" si="73"/>
        <v>0</v>
      </c>
      <c r="Q133" s="532">
        <f t="shared" si="73"/>
        <v>0</v>
      </c>
      <c r="R133" s="532">
        <f t="shared" si="73"/>
        <v>0</v>
      </c>
      <c r="S133" s="532">
        <f t="shared" si="73"/>
        <v>0</v>
      </c>
      <c r="T133" s="532">
        <f t="shared" si="73"/>
        <v>0</v>
      </c>
      <c r="U133" s="532">
        <f t="shared" si="73"/>
        <v>0</v>
      </c>
      <c r="V133" s="532">
        <f t="shared" si="73"/>
        <v>0</v>
      </c>
      <c r="W133" s="532">
        <f t="shared" si="73"/>
        <v>0</v>
      </c>
      <c r="X133" s="532">
        <f t="shared" si="73"/>
        <v>0</v>
      </c>
      <c r="Y133" s="532">
        <f t="shared" si="73"/>
        <v>420000000</v>
      </c>
      <c r="Z133" s="532">
        <f t="shared" si="73"/>
        <v>412454675.72000003</v>
      </c>
      <c r="AA133" s="532">
        <f t="shared" si="73"/>
        <v>378268839.72000003</v>
      </c>
      <c r="AB133" s="532">
        <f t="shared" si="73"/>
        <v>378268839.72000003</v>
      </c>
      <c r="AC133" s="37"/>
    </row>
    <row r="134" spans="1:29" ht="16.5" thickTop="1" thickBot="1" x14ac:dyDescent="0.3">
      <c r="A134" s="58">
        <v>3</v>
      </c>
      <c r="B134" s="58" t="s">
        <v>139</v>
      </c>
      <c r="C134" s="58" t="s">
        <v>183</v>
      </c>
      <c r="D134" s="58" t="s">
        <v>140</v>
      </c>
      <c r="E134" s="58" t="s">
        <v>129</v>
      </c>
      <c r="F134" s="58"/>
      <c r="G134" s="58"/>
      <c r="H134" s="69" t="s">
        <v>319</v>
      </c>
      <c r="I134" s="532">
        <f>+I135</f>
        <v>420000000</v>
      </c>
      <c r="J134" s="532">
        <f t="shared" si="73"/>
        <v>412454675.72000003</v>
      </c>
      <c r="K134" s="532">
        <f t="shared" si="73"/>
        <v>378268839.72000003</v>
      </c>
      <c r="L134" s="532">
        <f t="shared" si="73"/>
        <v>378268839.72000003</v>
      </c>
      <c r="M134" s="532">
        <f t="shared" si="73"/>
        <v>0</v>
      </c>
      <c r="N134" s="532">
        <f t="shared" si="73"/>
        <v>0</v>
      </c>
      <c r="O134" s="532">
        <f t="shared" si="73"/>
        <v>0</v>
      </c>
      <c r="P134" s="532">
        <f t="shared" si="73"/>
        <v>0</v>
      </c>
      <c r="Q134" s="532">
        <f t="shared" si="73"/>
        <v>0</v>
      </c>
      <c r="R134" s="532">
        <f t="shared" si="73"/>
        <v>0</v>
      </c>
      <c r="S134" s="532">
        <f t="shared" si="73"/>
        <v>0</v>
      </c>
      <c r="T134" s="532">
        <f t="shared" si="73"/>
        <v>0</v>
      </c>
      <c r="U134" s="532">
        <f t="shared" si="73"/>
        <v>0</v>
      </c>
      <c r="V134" s="532">
        <f t="shared" si="73"/>
        <v>0</v>
      </c>
      <c r="W134" s="532">
        <f t="shared" si="73"/>
        <v>0</v>
      </c>
      <c r="X134" s="532">
        <f t="shared" si="73"/>
        <v>0</v>
      </c>
      <c r="Y134" s="532">
        <f t="shared" si="73"/>
        <v>420000000</v>
      </c>
      <c r="Z134" s="532">
        <f t="shared" si="73"/>
        <v>412454675.72000003</v>
      </c>
      <c r="AA134" s="532">
        <f t="shared" si="73"/>
        <v>378268839.72000003</v>
      </c>
      <c r="AB134" s="532">
        <f t="shared" si="73"/>
        <v>378268839.72000003</v>
      </c>
      <c r="AC134" s="37"/>
    </row>
    <row r="135" spans="1:29" ht="16.5" thickTop="1" thickBot="1" x14ac:dyDescent="0.3">
      <c r="A135" s="43">
        <v>2</v>
      </c>
      <c r="B135" s="43" t="s">
        <v>139</v>
      </c>
      <c r="C135" s="44" t="s">
        <v>183</v>
      </c>
      <c r="D135" s="44" t="s">
        <v>140</v>
      </c>
      <c r="E135" s="44" t="s">
        <v>129</v>
      </c>
      <c r="F135" s="44" t="s">
        <v>129</v>
      </c>
      <c r="G135" s="43"/>
      <c r="H135" s="70" t="s">
        <v>320</v>
      </c>
      <c r="I135" s="525">
        <f>+I136</f>
        <v>420000000</v>
      </c>
      <c r="J135" s="525">
        <f t="shared" si="73"/>
        <v>412454675.72000003</v>
      </c>
      <c r="K135" s="525">
        <f t="shared" si="73"/>
        <v>378268839.72000003</v>
      </c>
      <c r="L135" s="525">
        <f t="shared" si="73"/>
        <v>378268839.72000003</v>
      </c>
      <c r="M135" s="525">
        <f t="shared" si="73"/>
        <v>0</v>
      </c>
      <c r="N135" s="525">
        <f t="shared" si="73"/>
        <v>0</v>
      </c>
      <c r="O135" s="525">
        <f t="shared" si="73"/>
        <v>0</v>
      </c>
      <c r="P135" s="525">
        <f t="shared" si="73"/>
        <v>0</v>
      </c>
      <c r="Q135" s="525">
        <f t="shared" si="73"/>
        <v>0</v>
      </c>
      <c r="R135" s="525">
        <f t="shared" si="73"/>
        <v>0</v>
      </c>
      <c r="S135" s="525">
        <f t="shared" si="73"/>
        <v>0</v>
      </c>
      <c r="T135" s="525">
        <f t="shared" si="73"/>
        <v>0</v>
      </c>
      <c r="U135" s="525">
        <f t="shared" si="73"/>
        <v>0</v>
      </c>
      <c r="V135" s="525">
        <f t="shared" si="73"/>
        <v>0</v>
      </c>
      <c r="W135" s="525">
        <f t="shared" si="73"/>
        <v>0</v>
      </c>
      <c r="X135" s="525">
        <f t="shared" si="73"/>
        <v>0</v>
      </c>
      <c r="Y135" s="525">
        <f t="shared" si="73"/>
        <v>420000000</v>
      </c>
      <c r="Z135" s="525">
        <f t="shared" si="73"/>
        <v>412454675.72000003</v>
      </c>
      <c r="AA135" s="525">
        <f t="shared" si="73"/>
        <v>378268839.72000003</v>
      </c>
      <c r="AB135" s="525">
        <f t="shared" si="73"/>
        <v>378268839.72000003</v>
      </c>
      <c r="AC135" s="37"/>
    </row>
    <row r="136" spans="1:29" ht="16.5" thickTop="1" thickBot="1" x14ac:dyDescent="0.3">
      <c r="A136" s="43">
        <v>2</v>
      </c>
      <c r="B136" s="43" t="s">
        <v>139</v>
      </c>
      <c r="C136" s="44" t="s">
        <v>183</v>
      </c>
      <c r="D136" s="44" t="s">
        <v>140</v>
      </c>
      <c r="E136" s="44" t="s">
        <v>129</v>
      </c>
      <c r="F136" s="44" t="s">
        <v>129</v>
      </c>
      <c r="G136" s="44" t="s">
        <v>129</v>
      </c>
      <c r="H136" s="70" t="s">
        <v>321</v>
      </c>
      <c r="I136" s="525">
        <v>420000000</v>
      </c>
      <c r="J136" s="525">
        <v>412454675.72000003</v>
      </c>
      <c r="K136" s="525">
        <v>378268839.72000003</v>
      </c>
      <c r="L136" s="525">
        <v>378268839.72000003</v>
      </c>
      <c r="M136" s="525"/>
      <c r="N136" s="525"/>
      <c r="O136" s="525"/>
      <c r="P136" s="525"/>
      <c r="Q136" s="525"/>
      <c r="R136" s="525"/>
      <c r="S136" s="525"/>
      <c r="T136" s="525"/>
      <c r="U136" s="525"/>
      <c r="V136" s="525"/>
      <c r="W136" s="525"/>
      <c r="X136" s="525"/>
      <c r="Y136" s="525">
        <f t="shared" ref="Y136:AB136" si="74">+I136+M136+Q136+U136</f>
        <v>420000000</v>
      </c>
      <c r="Z136" s="525">
        <f t="shared" si="74"/>
        <v>412454675.72000003</v>
      </c>
      <c r="AA136" s="525">
        <f t="shared" si="74"/>
        <v>378268839.72000003</v>
      </c>
      <c r="AB136" s="525">
        <f t="shared" si="74"/>
        <v>378268839.72000003</v>
      </c>
      <c r="AC136" s="37"/>
    </row>
    <row r="137" spans="1:29" ht="16.5" thickTop="1" thickBot="1" x14ac:dyDescent="0.3">
      <c r="A137" s="58">
        <v>2</v>
      </c>
      <c r="B137" s="58" t="s">
        <v>139</v>
      </c>
      <c r="C137" s="58" t="s">
        <v>183</v>
      </c>
      <c r="D137" s="58" t="s">
        <v>144</v>
      </c>
      <c r="E137" s="58"/>
      <c r="F137" s="58"/>
      <c r="G137" s="58"/>
      <c r="H137" s="69" t="s">
        <v>1082</v>
      </c>
      <c r="I137" s="532">
        <f>+I138</f>
        <v>250000000</v>
      </c>
      <c r="J137" s="532">
        <f t="shared" ref="J137:AB139" si="75">+J138</f>
        <v>246500889</v>
      </c>
      <c r="K137" s="532">
        <f t="shared" si="75"/>
        <v>213327183</v>
      </c>
      <c r="L137" s="532">
        <f t="shared" si="75"/>
        <v>213327183</v>
      </c>
      <c r="M137" s="532">
        <f t="shared" si="75"/>
        <v>0</v>
      </c>
      <c r="N137" s="532">
        <f t="shared" si="75"/>
        <v>0</v>
      </c>
      <c r="O137" s="532">
        <f t="shared" si="75"/>
        <v>0</v>
      </c>
      <c r="P137" s="532">
        <f t="shared" si="75"/>
        <v>0</v>
      </c>
      <c r="Q137" s="532">
        <f t="shared" si="75"/>
        <v>0</v>
      </c>
      <c r="R137" s="532">
        <f t="shared" si="75"/>
        <v>0</v>
      </c>
      <c r="S137" s="532">
        <f t="shared" si="75"/>
        <v>0</v>
      </c>
      <c r="T137" s="532">
        <f t="shared" si="75"/>
        <v>0</v>
      </c>
      <c r="U137" s="532">
        <f t="shared" si="75"/>
        <v>0</v>
      </c>
      <c r="V137" s="532">
        <f t="shared" si="75"/>
        <v>0</v>
      </c>
      <c r="W137" s="532">
        <f t="shared" si="75"/>
        <v>0</v>
      </c>
      <c r="X137" s="532">
        <f t="shared" si="75"/>
        <v>0</v>
      </c>
      <c r="Y137" s="532">
        <f t="shared" si="75"/>
        <v>250000000</v>
      </c>
      <c r="Z137" s="532">
        <f t="shared" si="75"/>
        <v>246500889</v>
      </c>
      <c r="AA137" s="532">
        <f t="shared" si="75"/>
        <v>213327183</v>
      </c>
      <c r="AB137" s="532">
        <f t="shared" si="75"/>
        <v>213327183</v>
      </c>
      <c r="AC137" s="37"/>
    </row>
    <row r="138" spans="1:29" ht="16.5" thickTop="1" thickBot="1" x14ac:dyDescent="0.3">
      <c r="A138" s="58">
        <v>3</v>
      </c>
      <c r="B138" s="58" t="s">
        <v>139</v>
      </c>
      <c r="C138" s="58" t="s">
        <v>183</v>
      </c>
      <c r="D138" s="58" t="s">
        <v>144</v>
      </c>
      <c r="E138" s="58" t="s">
        <v>129</v>
      </c>
      <c r="F138" s="58"/>
      <c r="G138" s="58"/>
      <c r="H138" s="69" t="s">
        <v>319</v>
      </c>
      <c r="I138" s="532">
        <f>+I139</f>
        <v>250000000</v>
      </c>
      <c r="J138" s="532">
        <f t="shared" si="75"/>
        <v>246500889</v>
      </c>
      <c r="K138" s="532">
        <f t="shared" si="75"/>
        <v>213327183</v>
      </c>
      <c r="L138" s="532">
        <f t="shared" si="75"/>
        <v>213327183</v>
      </c>
      <c r="M138" s="532">
        <f t="shared" si="75"/>
        <v>0</v>
      </c>
      <c r="N138" s="532">
        <f t="shared" si="75"/>
        <v>0</v>
      </c>
      <c r="O138" s="532">
        <f t="shared" si="75"/>
        <v>0</v>
      </c>
      <c r="P138" s="532">
        <f t="shared" si="75"/>
        <v>0</v>
      </c>
      <c r="Q138" s="532">
        <f t="shared" si="75"/>
        <v>0</v>
      </c>
      <c r="R138" s="532">
        <f t="shared" si="75"/>
        <v>0</v>
      </c>
      <c r="S138" s="532">
        <f t="shared" si="75"/>
        <v>0</v>
      </c>
      <c r="T138" s="532">
        <f t="shared" si="75"/>
        <v>0</v>
      </c>
      <c r="U138" s="532">
        <f t="shared" si="75"/>
        <v>0</v>
      </c>
      <c r="V138" s="532">
        <f t="shared" si="75"/>
        <v>0</v>
      </c>
      <c r="W138" s="532">
        <f t="shared" si="75"/>
        <v>0</v>
      </c>
      <c r="X138" s="532">
        <f t="shared" si="75"/>
        <v>0</v>
      </c>
      <c r="Y138" s="532">
        <f t="shared" si="75"/>
        <v>250000000</v>
      </c>
      <c r="Z138" s="532">
        <f t="shared" si="75"/>
        <v>246500889</v>
      </c>
      <c r="AA138" s="532">
        <f t="shared" si="75"/>
        <v>213327183</v>
      </c>
      <c r="AB138" s="532">
        <f t="shared" si="75"/>
        <v>213327183</v>
      </c>
      <c r="AC138" s="37"/>
    </row>
    <row r="139" spans="1:29" ht="16.5" thickTop="1" thickBot="1" x14ac:dyDescent="0.3">
      <c r="A139" s="43">
        <v>2</v>
      </c>
      <c r="B139" s="43" t="s">
        <v>139</v>
      </c>
      <c r="C139" s="44" t="s">
        <v>183</v>
      </c>
      <c r="D139" s="44" t="s">
        <v>144</v>
      </c>
      <c r="E139" s="44" t="s">
        <v>129</v>
      </c>
      <c r="F139" s="44" t="s">
        <v>129</v>
      </c>
      <c r="G139" s="43"/>
      <c r="H139" s="70" t="s">
        <v>320</v>
      </c>
      <c r="I139" s="525">
        <f>+I140</f>
        <v>250000000</v>
      </c>
      <c r="J139" s="525">
        <f t="shared" si="75"/>
        <v>246500889</v>
      </c>
      <c r="K139" s="525">
        <f t="shared" si="75"/>
        <v>213327183</v>
      </c>
      <c r="L139" s="525">
        <f t="shared" si="75"/>
        <v>213327183</v>
      </c>
      <c r="M139" s="525">
        <f t="shared" si="75"/>
        <v>0</v>
      </c>
      <c r="N139" s="525">
        <f t="shared" si="75"/>
        <v>0</v>
      </c>
      <c r="O139" s="525">
        <f t="shared" si="75"/>
        <v>0</v>
      </c>
      <c r="P139" s="525">
        <f t="shared" si="75"/>
        <v>0</v>
      </c>
      <c r="Q139" s="525">
        <f t="shared" si="75"/>
        <v>0</v>
      </c>
      <c r="R139" s="525">
        <f t="shared" si="75"/>
        <v>0</v>
      </c>
      <c r="S139" s="525">
        <f t="shared" si="75"/>
        <v>0</v>
      </c>
      <c r="T139" s="525">
        <f t="shared" si="75"/>
        <v>0</v>
      </c>
      <c r="U139" s="525">
        <f t="shared" si="75"/>
        <v>0</v>
      </c>
      <c r="V139" s="525">
        <f t="shared" si="75"/>
        <v>0</v>
      </c>
      <c r="W139" s="525">
        <f t="shared" si="75"/>
        <v>0</v>
      </c>
      <c r="X139" s="525">
        <f t="shared" si="75"/>
        <v>0</v>
      </c>
      <c r="Y139" s="525">
        <f t="shared" si="75"/>
        <v>250000000</v>
      </c>
      <c r="Z139" s="525">
        <f t="shared" si="75"/>
        <v>246500889</v>
      </c>
      <c r="AA139" s="525">
        <f t="shared" si="75"/>
        <v>213327183</v>
      </c>
      <c r="AB139" s="525">
        <f t="shared" si="75"/>
        <v>213327183</v>
      </c>
      <c r="AC139" s="37"/>
    </row>
    <row r="140" spans="1:29" ht="16.5" thickTop="1" thickBot="1" x14ac:dyDescent="0.3">
      <c r="A140" s="43">
        <v>2</v>
      </c>
      <c r="B140" s="43" t="s">
        <v>139</v>
      </c>
      <c r="C140" s="44" t="s">
        <v>183</v>
      </c>
      <c r="D140" s="44" t="s">
        <v>144</v>
      </c>
      <c r="E140" s="44" t="s">
        <v>129</v>
      </c>
      <c r="F140" s="44" t="s">
        <v>129</v>
      </c>
      <c r="G140" s="44" t="s">
        <v>129</v>
      </c>
      <c r="H140" s="70" t="s">
        <v>321</v>
      </c>
      <c r="I140" s="525">
        <v>250000000</v>
      </c>
      <c r="J140" s="525">
        <v>246500889</v>
      </c>
      <c r="K140" s="525">
        <v>213327183</v>
      </c>
      <c r="L140" s="525">
        <v>213327183</v>
      </c>
      <c r="M140" s="525"/>
      <c r="N140" s="525"/>
      <c r="O140" s="525"/>
      <c r="P140" s="525"/>
      <c r="Q140" s="525"/>
      <c r="R140" s="525"/>
      <c r="S140" s="525"/>
      <c r="T140" s="525"/>
      <c r="U140" s="525"/>
      <c r="V140" s="525"/>
      <c r="W140" s="525"/>
      <c r="X140" s="525"/>
      <c r="Y140" s="525">
        <f t="shared" ref="Y140:AB140" si="76">+I140+M140+Q140+U140</f>
        <v>250000000</v>
      </c>
      <c r="Z140" s="525">
        <f t="shared" si="76"/>
        <v>246500889</v>
      </c>
      <c r="AA140" s="525">
        <f t="shared" si="76"/>
        <v>213327183</v>
      </c>
      <c r="AB140" s="525">
        <f t="shared" si="76"/>
        <v>213327183</v>
      </c>
      <c r="AC140" s="37"/>
    </row>
    <row r="141" spans="1:29" ht="16.5" thickTop="1" thickBot="1" x14ac:dyDescent="0.3">
      <c r="A141" s="58">
        <v>2</v>
      </c>
      <c r="B141" s="58" t="s">
        <v>139</v>
      </c>
      <c r="C141" s="58" t="s">
        <v>183</v>
      </c>
      <c r="D141" s="58" t="s">
        <v>145</v>
      </c>
      <c r="E141" s="58"/>
      <c r="F141" s="58"/>
      <c r="G141" s="58"/>
      <c r="H141" s="69" t="s">
        <v>1083</v>
      </c>
      <c r="I141" s="532">
        <f>+I142</f>
        <v>665000000</v>
      </c>
      <c r="J141" s="532">
        <f t="shared" ref="J141:AB143" si="77">+J142</f>
        <v>636452502</v>
      </c>
      <c r="K141" s="532">
        <f t="shared" si="77"/>
        <v>489310270</v>
      </c>
      <c r="L141" s="532">
        <f t="shared" si="77"/>
        <v>489310270</v>
      </c>
      <c r="M141" s="532">
        <f t="shared" si="77"/>
        <v>0</v>
      </c>
      <c r="N141" s="532">
        <f t="shared" si="77"/>
        <v>0</v>
      </c>
      <c r="O141" s="532">
        <f t="shared" si="77"/>
        <v>0</v>
      </c>
      <c r="P141" s="532">
        <f t="shared" si="77"/>
        <v>0</v>
      </c>
      <c r="Q141" s="532">
        <f t="shared" si="77"/>
        <v>0</v>
      </c>
      <c r="R141" s="532">
        <f t="shared" si="77"/>
        <v>0</v>
      </c>
      <c r="S141" s="532">
        <f t="shared" si="77"/>
        <v>0</v>
      </c>
      <c r="T141" s="532">
        <f t="shared" si="77"/>
        <v>0</v>
      </c>
      <c r="U141" s="532">
        <f t="shared" si="77"/>
        <v>0</v>
      </c>
      <c r="V141" s="532">
        <f t="shared" si="77"/>
        <v>0</v>
      </c>
      <c r="W141" s="532">
        <f t="shared" si="77"/>
        <v>0</v>
      </c>
      <c r="X141" s="532">
        <f t="shared" si="77"/>
        <v>0</v>
      </c>
      <c r="Y141" s="532">
        <f t="shared" si="77"/>
        <v>665000000</v>
      </c>
      <c r="Z141" s="532">
        <f t="shared" si="77"/>
        <v>636452502</v>
      </c>
      <c r="AA141" s="532">
        <f t="shared" si="77"/>
        <v>489310270</v>
      </c>
      <c r="AB141" s="532">
        <f t="shared" si="77"/>
        <v>489310270</v>
      </c>
      <c r="AC141" s="37"/>
    </row>
    <row r="142" spans="1:29" ht="16.5" thickTop="1" thickBot="1" x14ac:dyDescent="0.3">
      <c r="A142" s="58">
        <v>3</v>
      </c>
      <c r="B142" s="58" t="s">
        <v>139</v>
      </c>
      <c r="C142" s="58" t="s">
        <v>183</v>
      </c>
      <c r="D142" s="58" t="s">
        <v>145</v>
      </c>
      <c r="E142" s="58" t="s">
        <v>129</v>
      </c>
      <c r="F142" s="58"/>
      <c r="G142" s="58"/>
      <c r="H142" s="69" t="s">
        <v>319</v>
      </c>
      <c r="I142" s="532">
        <f>+I143</f>
        <v>665000000</v>
      </c>
      <c r="J142" s="532">
        <f t="shared" si="77"/>
        <v>636452502</v>
      </c>
      <c r="K142" s="532">
        <f t="shared" si="77"/>
        <v>489310270</v>
      </c>
      <c r="L142" s="532">
        <f t="shared" si="77"/>
        <v>489310270</v>
      </c>
      <c r="M142" s="532">
        <f t="shared" si="77"/>
        <v>0</v>
      </c>
      <c r="N142" s="532">
        <f t="shared" si="77"/>
        <v>0</v>
      </c>
      <c r="O142" s="532">
        <f t="shared" si="77"/>
        <v>0</v>
      </c>
      <c r="P142" s="532">
        <f t="shared" si="77"/>
        <v>0</v>
      </c>
      <c r="Q142" s="532">
        <f t="shared" si="77"/>
        <v>0</v>
      </c>
      <c r="R142" s="532">
        <f t="shared" si="77"/>
        <v>0</v>
      </c>
      <c r="S142" s="532">
        <f t="shared" si="77"/>
        <v>0</v>
      </c>
      <c r="T142" s="532">
        <f t="shared" si="77"/>
        <v>0</v>
      </c>
      <c r="U142" s="532">
        <f t="shared" si="77"/>
        <v>0</v>
      </c>
      <c r="V142" s="532">
        <f t="shared" si="77"/>
        <v>0</v>
      </c>
      <c r="W142" s="532">
        <f t="shared" si="77"/>
        <v>0</v>
      </c>
      <c r="X142" s="532">
        <f t="shared" si="77"/>
        <v>0</v>
      </c>
      <c r="Y142" s="532">
        <f t="shared" si="77"/>
        <v>665000000</v>
      </c>
      <c r="Z142" s="532">
        <f t="shared" si="77"/>
        <v>636452502</v>
      </c>
      <c r="AA142" s="532">
        <f t="shared" si="77"/>
        <v>489310270</v>
      </c>
      <c r="AB142" s="532">
        <f t="shared" si="77"/>
        <v>489310270</v>
      </c>
      <c r="AC142" s="37"/>
    </row>
    <row r="143" spans="1:29" ht="16.5" thickTop="1" thickBot="1" x14ac:dyDescent="0.3">
      <c r="A143" s="43">
        <v>2</v>
      </c>
      <c r="B143" s="43" t="s">
        <v>139</v>
      </c>
      <c r="C143" s="44" t="s">
        <v>183</v>
      </c>
      <c r="D143" s="44" t="s">
        <v>145</v>
      </c>
      <c r="E143" s="44" t="s">
        <v>129</v>
      </c>
      <c r="F143" s="44" t="s">
        <v>129</v>
      </c>
      <c r="G143" s="43"/>
      <c r="H143" s="70" t="s">
        <v>320</v>
      </c>
      <c r="I143" s="525">
        <f>+I144</f>
        <v>665000000</v>
      </c>
      <c r="J143" s="525">
        <f t="shared" si="77"/>
        <v>636452502</v>
      </c>
      <c r="K143" s="525">
        <f t="shared" si="77"/>
        <v>489310270</v>
      </c>
      <c r="L143" s="525">
        <f t="shared" si="77"/>
        <v>489310270</v>
      </c>
      <c r="M143" s="525">
        <f t="shared" si="77"/>
        <v>0</v>
      </c>
      <c r="N143" s="525">
        <f t="shared" si="77"/>
        <v>0</v>
      </c>
      <c r="O143" s="525">
        <f t="shared" si="77"/>
        <v>0</v>
      </c>
      <c r="P143" s="525">
        <f t="shared" si="77"/>
        <v>0</v>
      </c>
      <c r="Q143" s="525">
        <f t="shared" si="77"/>
        <v>0</v>
      </c>
      <c r="R143" s="525">
        <f t="shared" si="77"/>
        <v>0</v>
      </c>
      <c r="S143" s="525">
        <f t="shared" si="77"/>
        <v>0</v>
      </c>
      <c r="T143" s="525">
        <f t="shared" si="77"/>
        <v>0</v>
      </c>
      <c r="U143" s="525">
        <f t="shared" si="77"/>
        <v>0</v>
      </c>
      <c r="V143" s="525">
        <f t="shared" si="77"/>
        <v>0</v>
      </c>
      <c r="W143" s="525">
        <f t="shared" si="77"/>
        <v>0</v>
      </c>
      <c r="X143" s="525">
        <f t="shared" si="77"/>
        <v>0</v>
      </c>
      <c r="Y143" s="525">
        <f t="shared" si="77"/>
        <v>665000000</v>
      </c>
      <c r="Z143" s="525">
        <f t="shared" si="77"/>
        <v>636452502</v>
      </c>
      <c r="AA143" s="525">
        <f t="shared" si="77"/>
        <v>489310270</v>
      </c>
      <c r="AB143" s="525">
        <f t="shared" si="77"/>
        <v>489310270</v>
      </c>
      <c r="AC143" s="37"/>
    </row>
    <row r="144" spans="1:29" ht="16.5" thickTop="1" thickBot="1" x14ac:dyDescent="0.3">
      <c r="A144" s="43">
        <v>2</v>
      </c>
      <c r="B144" s="43" t="s">
        <v>139</v>
      </c>
      <c r="C144" s="44" t="s">
        <v>183</v>
      </c>
      <c r="D144" s="44" t="s">
        <v>145</v>
      </c>
      <c r="E144" s="44" t="s">
        <v>129</v>
      </c>
      <c r="F144" s="44" t="s">
        <v>129</v>
      </c>
      <c r="G144" s="44" t="s">
        <v>129</v>
      </c>
      <c r="H144" s="70" t="s">
        <v>321</v>
      </c>
      <c r="I144" s="525">
        <v>665000000</v>
      </c>
      <c r="J144" s="525">
        <v>636452502</v>
      </c>
      <c r="K144" s="525">
        <v>489310270</v>
      </c>
      <c r="L144" s="525">
        <v>489310270</v>
      </c>
      <c r="M144" s="525"/>
      <c r="N144" s="525"/>
      <c r="O144" s="525"/>
      <c r="P144" s="525"/>
      <c r="Q144" s="525"/>
      <c r="R144" s="525"/>
      <c r="S144" s="525"/>
      <c r="T144" s="525"/>
      <c r="U144" s="525"/>
      <c r="V144" s="525"/>
      <c r="W144" s="525"/>
      <c r="X144" s="525"/>
      <c r="Y144" s="525">
        <f t="shared" ref="Y144:AB144" si="78">+I144+M144+Q144+U144</f>
        <v>665000000</v>
      </c>
      <c r="Z144" s="525">
        <f t="shared" si="78"/>
        <v>636452502</v>
      </c>
      <c r="AA144" s="525">
        <f t="shared" si="78"/>
        <v>489310270</v>
      </c>
      <c r="AB144" s="525">
        <f t="shared" si="78"/>
        <v>489310270</v>
      </c>
      <c r="AC144" s="37"/>
    </row>
    <row r="145" spans="1:29" ht="16.5" thickTop="1" thickBot="1" x14ac:dyDescent="0.3">
      <c r="A145" s="58">
        <v>2</v>
      </c>
      <c r="B145" s="58" t="s">
        <v>139</v>
      </c>
      <c r="C145" s="58" t="s">
        <v>183</v>
      </c>
      <c r="D145" s="58" t="s">
        <v>146</v>
      </c>
      <c r="E145" s="58"/>
      <c r="F145" s="58"/>
      <c r="G145" s="58"/>
      <c r="H145" s="69" t="s">
        <v>1084</v>
      </c>
      <c r="I145" s="532">
        <f>+I146</f>
        <v>355000000</v>
      </c>
      <c r="J145" s="532">
        <f t="shared" ref="J145:AB147" si="79">+J146</f>
        <v>253384705</v>
      </c>
      <c r="K145" s="532">
        <f t="shared" si="79"/>
        <v>163299560</v>
      </c>
      <c r="L145" s="532">
        <f t="shared" si="79"/>
        <v>163299560</v>
      </c>
      <c r="M145" s="532">
        <f t="shared" si="79"/>
        <v>0</v>
      </c>
      <c r="N145" s="532">
        <f t="shared" si="79"/>
        <v>0</v>
      </c>
      <c r="O145" s="532">
        <f t="shared" si="79"/>
        <v>0</v>
      </c>
      <c r="P145" s="532">
        <f t="shared" si="79"/>
        <v>0</v>
      </c>
      <c r="Q145" s="532">
        <f t="shared" si="79"/>
        <v>0</v>
      </c>
      <c r="R145" s="532">
        <f t="shared" si="79"/>
        <v>0</v>
      </c>
      <c r="S145" s="532">
        <f t="shared" si="79"/>
        <v>0</v>
      </c>
      <c r="T145" s="532">
        <f t="shared" si="79"/>
        <v>0</v>
      </c>
      <c r="U145" s="532">
        <f t="shared" si="79"/>
        <v>0</v>
      </c>
      <c r="V145" s="532">
        <f t="shared" si="79"/>
        <v>0</v>
      </c>
      <c r="W145" s="532">
        <f t="shared" si="79"/>
        <v>0</v>
      </c>
      <c r="X145" s="532">
        <f t="shared" si="79"/>
        <v>0</v>
      </c>
      <c r="Y145" s="532">
        <f t="shared" si="79"/>
        <v>355000000</v>
      </c>
      <c r="Z145" s="532">
        <f t="shared" si="79"/>
        <v>253384705</v>
      </c>
      <c r="AA145" s="532">
        <f t="shared" si="79"/>
        <v>163299560</v>
      </c>
      <c r="AB145" s="532">
        <f t="shared" si="79"/>
        <v>163299560</v>
      </c>
      <c r="AC145" s="37"/>
    </row>
    <row r="146" spans="1:29" ht="16.5" thickTop="1" thickBot="1" x14ac:dyDescent="0.3">
      <c r="A146" s="58">
        <v>3</v>
      </c>
      <c r="B146" s="58" t="s">
        <v>139</v>
      </c>
      <c r="C146" s="58" t="s">
        <v>183</v>
      </c>
      <c r="D146" s="58" t="s">
        <v>146</v>
      </c>
      <c r="E146" s="58" t="s">
        <v>129</v>
      </c>
      <c r="F146" s="58"/>
      <c r="G146" s="58"/>
      <c r="H146" s="69" t="s">
        <v>319</v>
      </c>
      <c r="I146" s="532">
        <f>+I147</f>
        <v>355000000</v>
      </c>
      <c r="J146" s="532">
        <f t="shared" si="79"/>
        <v>253384705</v>
      </c>
      <c r="K146" s="532">
        <f t="shared" si="79"/>
        <v>163299560</v>
      </c>
      <c r="L146" s="532">
        <f t="shared" si="79"/>
        <v>163299560</v>
      </c>
      <c r="M146" s="532">
        <f t="shared" si="79"/>
        <v>0</v>
      </c>
      <c r="N146" s="532">
        <f t="shared" si="79"/>
        <v>0</v>
      </c>
      <c r="O146" s="532">
        <f t="shared" si="79"/>
        <v>0</v>
      </c>
      <c r="P146" s="532">
        <f t="shared" si="79"/>
        <v>0</v>
      </c>
      <c r="Q146" s="532">
        <f t="shared" si="79"/>
        <v>0</v>
      </c>
      <c r="R146" s="532">
        <f t="shared" si="79"/>
        <v>0</v>
      </c>
      <c r="S146" s="532">
        <f t="shared" si="79"/>
        <v>0</v>
      </c>
      <c r="T146" s="532">
        <f t="shared" si="79"/>
        <v>0</v>
      </c>
      <c r="U146" s="532">
        <f t="shared" si="79"/>
        <v>0</v>
      </c>
      <c r="V146" s="532">
        <f t="shared" si="79"/>
        <v>0</v>
      </c>
      <c r="W146" s="532">
        <f t="shared" si="79"/>
        <v>0</v>
      </c>
      <c r="X146" s="532">
        <f t="shared" si="79"/>
        <v>0</v>
      </c>
      <c r="Y146" s="532">
        <f t="shared" si="79"/>
        <v>355000000</v>
      </c>
      <c r="Z146" s="532">
        <f t="shared" si="79"/>
        <v>253384705</v>
      </c>
      <c r="AA146" s="532">
        <f t="shared" si="79"/>
        <v>163299560</v>
      </c>
      <c r="AB146" s="532">
        <f t="shared" si="79"/>
        <v>163299560</v>
      </c>
      <c r="AC146" s="37"/>
    </row>
    <row r="147" spans="1:29" ht="16.5" thickTop="1" thickBot="1" x14ac:dyDescent="0.3">
      <c r="A147" s="43">
        <v>2</v>
      </c>
      <c r="B147" s="43" t="s">
        <v>139</v>
      </c>
      <c r="C147" s="44" t="s">
        <v>183</v>
      </c>
      <c r="D147" s="44" t="s">
        <v>146</v>
      </c>
      <c r="E147" s="44" t="s">
        <v>129</v>
      </c>
      <c r="F147" s="44" t="s">
        <v>129</v>
      </c>
      <c r="G147" s="43"/>
      <c r="H147" s="70" t="s">
        <v>320</v>
      </c>
      <c r="I147" s="525">
        <f>+I148</f>
        <v>355000000</v>
      </c>
      <c r="J147" s="525">
        <f t="shared" si="79"/>
        <v>253384705</v>
      </c>
      <c r="K147" s="525">
        <f t="shared" si="79"/>
        <v>163299560</v>
      </c>
      <c r="L147" s="525">
        <f t="shared" si="79"/>
        <v>163299560</v>
      </c>
      <c r="M147" s="525">
        <f t="shared" si="79"/>
        <v>0</v>
      </c>
      <c r="N147" s="525">
        <f t="shared" si="79"/>
        <v>0</v>
      </c>
      <c r="O147" s="525">
        <f t="shared" si="79"/>
        <v>0</v>
      </c>
      <c r="P147" s="525">
        <f t="shared" si="79"/>
        <v>0</v>
      </c>
      <c r="Q147" s="525">
        <f t="shared" si="79"/>
        <v>0</v>
      </c>
      <c r="R147" s="525">
        <f t="shared" si="79"/>
        <v>0</v>
      </c>
      <c r="S147" s="525">
        <f t="shared" si="79"/>
        <v>0</v>
      </c>
      <c r="T147" s="525">
        <f t="shared" si="79"/>
        <v>0</v>
      </c>
      <c r="U147" s="525">
        <f t="shared" si="79"/>
        <v>0</v>
      </c>
      <c r="V147" s="525">
        <f t="shared" si="79"/>
        <v>0</v>
      </c>
      <c r="W147" s="525">
        <f t="shared" si="79"/>
        <v>0</v>
      </c>
      <c r="X147" s="525">
        <f t="shared" si="79"/>
        <v>0</v>
      </c>
      <c r="Y147" s="525">
        <f t="shared" si="79"/>
        <v>355000000</v>
      </c>
      <c r="Z147" s="525">
        <f t="shared" si="79"/>
        <v>253384705</v>
      </c>
      <c r="AA147" s="525">
        <f t="shared" si="79"/>
        <v>163299560</v>
      </c>
      <c r="AB147" s="525">
        <f t="shared" si="79"/>
        <v>163299560</v>
      </c>
      <c r="AC147" s="37"/>
    </row>
    <row r="148" spans="1:29" ht="16.5" thickTop="1" thickBot="1" x14ac:dyDescent="0.3">
      <c r="A148" s="43">
        <v>2</v>
      </c>
      <c r="B148" s="43" t="s">
        <v>139</v>
      </c>
      <c r="C148" s="44" t="s">
        <v>183</v>
      </c>
      <c r="D148" s="44" t="s">
        <v>146</v>
      </c>
      <c r="E148" s="44" t="s">
        <v>129</v>
      </c>
      <c r="F148" s="44" t="s">
        <v>129</v>
      </c>
      <c r="G148" s="44" t="s">
        <v>129</v>
      </c>
      <c r="H148" s="70" t="s">
        <v>321</v>
      </c>
      <c r="I148" s="525">
        <v>355000000</v>
      </c>
      <c r="J148" s="525">
        <v>253384705</v>
      </c>
      <c r="K148" s="525">
        <v>163299560</v>
      </c>
      <c r="L148" s="525">
        <v>163299560</v>
      </c>
      <c r="M148" s="525"/>
      <c r="N148" s="525"/>
      <c r="O148" s="525"/>
      <c r="P148" s="525"/>
      <c r="Q148" s="525"/>
      <c r="R148" s="525"/>
      <c r="S148" s="525"/>
      <c r="T148" s="525"/>
      <c r="U148" s="525"/>
      <c r="V148" s="525"/>
      <c r="W148" s="525"/>
      <c r="X148" s="525"/>
      <c r="Y148" s="525">
        <f t="shared" ref="Y148:AB148" si="80">+I148+M148+Q148+U148</f>
        <v>355000000</v>
      </c>
      <c r="Z148" s="525">
        <f t="shared" si="80"/>
        <v>253384705</v>
      </c>
      <c r="AA148" s="525">
        <f t="shared" si="80"/>
        <v>163299560</v>
      </c>
      <c r="AB148" s="525">
        <f t="shared" si="80"/>
        <v>163299560</v>
      </c>
      <c r="AC148" s="37"/>
    </row>
    <row r="149" spans="1:29" ht="16.5" thickTop="1" thickBot="1" x14ac:dyDescent="0.3">
      <c r="A149" s="58">
        <v>2</v>
      </c>
      <c r="B149" s="58" t="s">
        <v>139</v>
      </c>
      <c r="C149" s="58" t="s">
        <v>183</v>
      </c>
      <c r="D149" s="58" t="s">
        <v>147</v>
      </c>
      <c r="E149" s="58"/>
      <c r="F149" s="58"/>
      <c r="G149" s="58"/>
      <c r="H149" s="69" t="s">
        <v>1085</v>
      </c>
      <c r="I149" s="532">
        <f>+I150</f>
        <v>640000000</v>
      </c>
      <c r="J149" s="532">
        <f t="shared" ref="J149:AB151" si="81">+J150</f>
        <v>539083009</v>
      </c>
      <c r="K149" s="532">
        <f t="shared" si="81"/>
        <v>323233127</v>
      </c>
      <c r="L149" s="532">
        <f t="shared" si="81"/>
        <v>323233127</v>
      </c>
      <c r="M149" s="532">
        <f t="shared" si="81"/>
        <v>0</v>
      </c>
      <c r="N149" s="532">
        <f t="shared" si="81"/>
        <v>0</v>
      </c>
      <c r="O149" s="532">
        <f t="shared" si="81"/>
        <v>0</v>
      </c>
      <c r="P149" s="532">
        <f t="shared" si="81"/>
        <v>0</v>
      </c>
      <c r="Q149" s="532">
        <f t="shared" si="81"/>
        <v>0</v>
      </c>
      <c r="R149" s="532">
        <f t="shared" si="81"/>
        <v>0</v>
      </c>
      <c r="S149" s="532">
        <f t="shared" si="81"/>
        <v>0</v>
      </c>
      <c r="T149" s="532">
        <f t="shared" si="81"/>
        <v>0</v>
      </c>
      <c r="U149" s="532">
        <f t="shared" si="81"/>
        <v>0</v>
      </c>
      <c r="V149" s="532">
        <f t="shared" si="81"/>
        <v>0</v>
      </c>
      <c r="W149" s="532">
        <f t="shared" si="81"/>
        <v>0</v>
      </c>
      <c r="X149" s="532">
        <f t="shared" si="81"/>
        <v>0</v>
      </c>
      <c r="Y149" s="532">
        <f t="shared" si="81"/>
        <v>640000000</v>
      </c>
      <c r="Z149" s="532">
        <f t="shared" si="81"/>
        <v>539083009</v>
      </c>
      <c r="AA149" s="532">
        <f t="shared" si="81"/>
        <v>323233127</v>
      </c>
      <c r="AB149" s="532">
        <f t="shared" si="81"/>
        <v>323233127</v>
      </c>
      <c r="AC149" s="37"/>
    </row>
    <row r="150" spans="1:29" ht="16.5" thickTop="1" thickBot="1" x14ac:dyDescent="0.3">
      <c r="A150" s="58">
        <v>3</v>
      </c>
      <c r="B150" s="58" t="s">
        <v>139</v>
      </c>
      <c r="C150" s="58" t="s">
        <v>183</v>
      </c>
      <c r="D150" s="58" t="s">
        <v>147</v>
      </c>
      <c r="E150" s="58" t="s">
        <v>129</v>
      </c>
      <c r="F150" s="58"/>
      <c r="G150" s="58"/>
      <c r="H150" s="69" t="s">
        <v>319</v>
      </c>
      <c r="I150" s="532">
        <f>+I151</f>
        <v>640000000</v>
      </c>
      <c r="J150" s="532">
        <f t="shared" si="81"/>
        <v>539083009</v>
      </c>
      <c r="K150" s="532">
        <f t="shared" si="81"/>
        <v>323233127</v>
      </c>
      <c r="L150" s="532">
        <f t="shared" si="81"/>
        <v>323233127</v>
      </c>
      <c r="M150" s="532">
        <f t="shared" si="81"/>
        <v>0</v>
      </c>
      <c r="N150" s="532">
        <f t="shared" si="81"/>
        <v>0</v>
      </c>
      <c r="O150" s="532">
        <f t="shared" si="81"/>
        <v>0</v>
      </c>
      <c r="P150" s="532">
        <f t="shared" si="81"/>
        <v>0</v>
      </c>
      <c r="Q150" s="532">
        <f t="shared" si="81"/>
        <v>0</v>
      </c>
      <c r="R150" s="532">
        <f t="shared" si="81"/>
        <v>0</v>
      </c>
      <c r="S150" s="532">
        <f t="shared" si="81"/>
        <v>0</v>
      </c>
      <c r="T150" s="532">
        <f t="shared" si="81"/>
        <v>0</v>
      </c>
      <c r="U150" s="532">
        <f t="shared" si="81"/>
        <v>0</v>
      </c>
      <c r="V150" s="532">
        <f t="shared" si="81"/>
        <v>0</v>
      </c>
      <c r="W150" s="532">
        <f t="shared" si="81"/>
        <v>0</v>
      </c>
      <c r="X150" s="532">
        <f t="shared" si="81"/>
        <v>0</v>
      </c>
      <c r="Y150" s="532">
        <f t="shared" si="81"/>
        <v>640000000</v>
      </c>
      <c r="Z150" s="532">
        <f t="shared" si="81"/>
        <v>539083009</v>
      </c>
      <c r="AA150" s="532">
        <f t="shared" si="81"/>
        <v>323233127</v>
      </c>
      <c r="AB150" s="532">
        <f t="shared" si="81"/>
        <v>323233127</v>
      </c>
      <c r="AC150" s="37"/>
    </row>
    <row r="151" spans="1:29" ht="16.5" thickTop="1" thickBot="1" x14ac:dyDescent="0.3">
      <c r="A151" s="43">
        <v>2</v>
      </c>
      <c r="B151" s="43" t="s">
        <v>139</v>
      </c>
      <c r="C151" s="44" t="s">
        <v>183</v>
      </c>
      <c r="D151" s="44" t="s">
        <v>147</v>
      </c>
      <c r="E151" s="44" t="s">
        <v>129</v>
      </c>
      <c r="F151" s="44" t="s">
        <v>129</v>
      </c>
      <c r="G151" s="43"/>
      <c r="H151" s="70" t="s">
        <v>320</v>
      </c>
      <c r="I151" s="525">
        <f>+I152</f>
        <v>640000000</v>
      </c>
      <c r="J151" s="525">
        <f t="shared" si="81"/>
        <v>539083009</v>
      </c>
      <c r="K151" s="525">
        <f t="shared" si="81"/>
        <v>323233127</v>
      </c>
      <c r="L151" s="525">
        <f t="shared" si="81"/>
        <v>323233127</v>
      </c>
      <c r="M151" s="525">
        <f t="shared" si="81"/>
        <v>0</v>
      </c>
      <c r="N151" s="525">
        <f t="shared" si="81"/>
        <v>0</v>
      </c>
      <c r="O151" s="525">
        <f t="shared" si="81"/>
        <v>0</v>
      </c>
      <c r="P151" s="525">
        <f t="shared" si="81"/>
        <v>0</v>
      </c>
      <c r="Q151" s="525">
        <f t="shared" si="81"/>
        <v>0</v>
      </c>
      <c r="R151" s="525">
        <f t="shared" si="81"/>
        <v>0</v>
      </c>
      <c r="S151" s="525">
        <f t="shared" si="81"/>
        <v>0</v>
      </c>
      <c r="T151" s="525">
        <f t="shared" si="81"/>
        <v>0</v>
      </c>
      <c r="U151" s="525">
        <f t="shared" si="81"/>
        <v>0</v>
      </c>
      <c r="V151" s="525">
        <f t="shared" si="81"/>
        <v>0</v>
      </c>
      <c r="W151" s="525">
        <f t="shared" si="81"/>
        <v>0</v>
      </c>
      <c r="X151" s="525">
        <f t="shared" si="81"/>
        <v>0</v>
      </c>
      <c r="Y151" s="525">
        <f t="shared" si="81"/>
        <v>640000000</v>
      </c>
      <c r="Z151" s="525">
        <f t="shared" si="81"/>
        <v>539083009</v>
      </c>
      <c r="AA151" s="525">
        <f t="shared" si="81"/>
        <v>323233127</v>
      </c>
      <c r="AB151" s="525">
        <f t="shared" si="81"/>
        <v>323233127</v>
      </c>
      <c r="AC151" s="37"/>
    </row>
    <row r="152" spans="1:29" ht="16.5" thickTop="1" thickBot="1" x14ac:dyDescent="0.3">
      <c r="A152" s="43">
        <v>2</v>
      </c>
      <c r="B152" s="43" t="s">
        <v>139</v>
      </c>
      <c r="C152" s="44" t="s">
        <v>183</v>
      </c>
      <c r="D152" s="44" t="s">
        <v>147</v>
      </c>
      <c r="E152" s="44" t="s">
        <v>129</v>
      </c>
      <c r="F152" s="44" t="s">
        <v>129</v>
      </c>
      <c r="G152" s="44" t="s">
        <v>129</v>
      </c>
      <c r="H152" s="70" t="s">
        <v>321</v>
      </c>
      <c r="I152" s="525">
        <v>640000000</v>
      </c>
      <c r="J152" s="525">
        <v>539083009</v>
      </c>
      <c r="K152" s="525">
        <v>323233127</v>
      </c>
      <c r="L152" s="525">
        <v>323233127</v>
      </c>
      <c r="M152" s="525"/>
      <c r="N152" s="525"/>
      <c r="O152" s="525"/>
      <c r="P152" s="525"/>
      <c r="Q152" s="525"/>
      <c r="R152" s="525"/>
      <c r="S152" s="525"/>
      <c r="T152" s="525"/>
      <c r="U152" s="525"/>
      <c r="V152" s="525"/>
      <c r="W152" s="525"/>
      <c r="X152" s="525"/>
      <c r="Y152" s="525">
        <f t="shared" ref="Y152:AB152" si="82">+I152+M152+Q152+U152</f>
        <v>640000000</v>
      </c>
      <c r="Z152" s="525">
        <f t="shared" si="82"/>
        <v>539083009</v>
      </c>
      <c r="AA152" s="525">
        <f t="shared" si="82"/>
        <v>323233127</v>
      </c>
      <c r="AB152" s="525">
        <f t="shared" si="82"/>
        <v>323233127</v>
      </c>
      <c r="AC152" s="37"/>
    </row>
    <row r="153" spans="1:29" ht="16.5" thickTop="1" thickBot="1" x14ac:dyDescent="0.3">
      <c r="A153" s="58">
        <v>2</v>
      </c>
      <c r="B153" s="58" t="s">
        <v>139</v>
      </c>
      <c r="C153" s="58" t="s">
        <v>183</v>
      </c>
      <c r="D153" s="58" t="s">
        <v>180</v>
      </c>
      <c r="E153" s="58"/>
      <c r="F153" s="58"/>
      <c r="G153" s="58"/>
      <c r="H153" s="69" t="s">
        <v>1086</v>
      </c>
      <c r="I153" s="532">
        <f>+I154</f>
        <v>645000000</v>
      </c>
      <c r="J153" s="532">
        <f t="shared" ref="J153:AB155" si="83">+J154</f>
        <v>635300006.65999997</v>
      </c>
      <c r="K153" s="532">
        <f t="shared" si="83"/>
        <v>609235528</v>
      </c>
      <c r="L153" s="532">
        <f t="shared" si="83"/>
        <v>603235528</v>
      </c>
      <c r="M153" s="532">
        <f t="shared" si="83"/>
        <v>0</v>
      </c>
      <c r="N153" s="532">
        <f t="shared" si="83"/>
        <v>0</v>
      </c>
      <c r="O153" s="532">
        <f t="shared" si="83"/>
        <v>0</v>
      </c>
      <c r="P153" s="532">
        <f t="shared" si="83"/>
        <v>0</v>
      </c>
      <c r="Q153" s="532">
        <f t="shared" si="83"/>
        <v>0</v>
      </c>
      <c r="R153" s="532">
        <f t="shared" si="83"/>
        <v>0</v>
      </c>
      <c r="S153" s="532">
        <f t="shared" si="83"/>
        <v>0</v>
      </c>
      <c r="T153" s="532">
        <f t="shared" si="83"/>
        <v>0</v>
      </c>
      <c r="U153" s="532">
        <f t="shared" si="83"/>
        <v>0</v>
      </c>
      <c r="V153" s="532">
        <f t="shared" si="83"/>
        <v>0</v>
      </c>
      <c r="W153" s="532">
        <f t="shared" si="83"/>
        <v>0</v>
      </c>
      <c r="X153" s="532">
        <f t="shared" si="83"/>
        <v>0</v>
      </c>
      <c r="Y153" s="532">
        <f t="shared" si="83"/>
        <v>645000000</v>
      </c>
      <c r="Z153" s="532">
        <f t="shared" si="83"/>
        <v>635300006.65999997</v>
      </c>
      <c r="AA153" s="532">
        <f t="shared" si="83"/>
        <v>609235528</v>
      </c>
      <c r="AB153" s="532">
        <f t="shared" si="83"/>
        <v>603235528</v>
      </c>
      <c r="AC153" s="37"/>
    </row>
    <row r="154" spans="1:29" ht="16.5" thickTop="1" thickBot="1" x14ac:dyDescent="0.3">
      <c r="A154" s="58">
        <v>3</v>
      </c>
      <c r="B154" s="58" t="s">
        <v>139</v>
      </c>
      <c r="C154" s="58" t="s">
        <v>183</v>
      </c>
      <c r="D154" s="58" t="s">
        <v>180</v>
      </c>
      <c r="E154" s="58" t="s">
        <v>129</v>
      </c>
      <c r="F154" s="58"/>
      <c r="G154" s="58"/>
      <c r="H154" s="69" t="s">
        <v>319</v>
      </c>
      <c r="I154" s="532">
        <f>+I155</f>
        <v>645000000</v>
      </c>
      <c r="J154" s="532">
        <f t="shared" si="83"/>
        <v>635300006.65999997</v>
      </c>
      <c r="K154" s="532">
        <f t="shared" si="83"/>
        <v>609235528</v>
      </c>
      <c r="L154" s="532">
        <f t="shared" si="83"/>
        <v>603235528</v>
      </c>
      <c r="M154" s="532">
        <f t="shared" si="83"/>
        <v>0</v>
      </c>
      <c r="N154" s="532">
        <f t="shared" si="83"/>
        <v>0</v>
      </c>
      <c r="O154" s="532">
        <f t="shared" si="83"/>
        <v>0</v>
      </c>
      <c r="P154" s="532">
        <f t="shared" si="83"/>
        <v>0</v>
      </c>
      <c r="Q154" s="532">
        <f t="shared" si="83"/>
        <v>0</v>
      </c>
      <c r="R154" s="532">
        <f t="shared" si="83"/>
        <v>0</v>
      </c>
      <c r="S154" s="532">
        <f t="shared" si="83"/>
        <v>0</v>
      </c>
      <c r="T154" s="532">
        <f t="shared" si="83"/>
        <v>0</v>
      </c>
      <c r="U154" s="532">
        <f t="shared" si="83"/>
        <v>0</v>
      </c>
      <c r="V154" s="532">
        <f t="shared" si="83"/>
        <v>0</v>
      </c>
      <c r="W154" s="532">
        <f t="shared" si="83"/>
        <v>0</v>
      </c>
      <c r="X154" s="532">
        <f t="shared" si="83"/>
        <v>0</v>
      </c>
      <c r="Y154" s="532">
        <f t="shared" si="83"/>
        <v>645000000</v>
      </c>
      <c r="Z154" s="532">
        <f t="shared" si="83"/>
        <v>635300006.65999997</v>
      </c>
      <c r="AA154" s="532">
        <f t="shared" si="83"/>
        <v>609235528</v>
      </c>
      <c r="AB154" s="532">
        <f t="shared" si="83"/>
        <v>603235528</v>
      </c>
      <c r="AC154" s="37"/>
    </row>
    <row r="155" spans="1:29" ht="16.5" thickTop="1" thickBot="1" x14ac:dyDescent="0.3">
      <c r="A155" s="43">
        <v>2</v>
      </c>
      <c r="B155" s="43" t="s">
        <v>139</v>
      </c>
      <c r="C155" s="44" t="s">
        <v>183</v>
      </c>
      <c r="D155" s="44" t="s">
        <v>180</v>
      </c>
      <c r="E155" s="44" t="s">
        <v>129</v>
      </c>
      <c r="F155" s="44" t="s">
        <v>129</v>
      </c>
      <c r="G155" s="43"/>
      <c r="H155" s="70" t="s">
        <v>320</v>
      </c>
      <c r="I155" s="525">
        <f>+I156</f>
        <v>645000000</v>
      </c>
      <c r="J155" s="525">
        <f t="shared" si="83"/>
        <v>635300006.65999997</v>
      </c>
      <c r="K155" s="525">
        <f t="shared" si="83"/>
        <v>609235528</v>
      </c>
      <c r="L155" s="525">
        <f t="shared" si="83"/>
        <v>603235528</v>
      </c>
      <c r="M155" s="525">
        <f t="shared" si="83"/>
        <v>0</v>
      </c>
      <c r="N155" s="525">
        <f t="shared" si="83"/>
        <v>0</v>
      </c>
      <c r="O155" s="525">
        <f t="shared" si="83"/>
        <v>0</v>
      </c>
      <c r="P155" s="525">
        <f t="shared" si="83"/>
        <v>0</v>
      </c>
      <c r="Q155" s="525">
        <f t="shared" si="83"/>
        <v>0</v>
      </c>
      <c r="R155" s="525">
        <f t="shared" si="83"/>
        <v>0</v>
      </c>
      <c r="S155" s="525">
        <f t="shared" si="83"/>
        <v>0</v>
      </c>
      <c r="T155" s="525">
        <f t="shared" si="83"/>
        <v>0</v>
      </c>
      <c r="U155" s="525">
        <f t="shared" si="83"/>
        <v>0</v>
      </c>
      <c r="V155" s="525">
        <f t="shared" si="83"/>
        <v>0</v>
      </c>
      <c r="W155" s="525">
        <f t="shared" si="83"/>
        <v>0</v>
      </c>
      <c r="X155" s="525">
        <f t="shared" si="83"/>
        <v>0</v>
      </c>
      <c r="Y155" s="525">
        <f t="shared" si="83"/>
        <v>645000000</v>
      </c>
      <c r="Z155" s="525">
        <f t="shared" si="83"/>
        <v>635300006.65999997</v>
      </c>
      <c r="AA155" s="525">
        <f t="shared" si="83"/>
        <v>609235528</v>
      </c>
      <c r="AB155" s="525">
        <f t="shared" si="83"/>
        <v>603235528</v>
      </c>
      <c r="AC155" s="37"/>
    </row>
    <row r="156" spans="1:29" ht="16.5" thickTop="1" thickBot="1" x14ac:dyDescent="0.3">
      <c r="A156" s="43">
        <v>2</v>
      </c>
      <c r="B156" s="43" t="s">
        <v>139</v>
      </c>
      <c r="C156" s="44" t="s">
        <v>183</v>
      </c>
      <c r="D156" s="44" t="s">
        <v>180</v>
      </c>
      <c r="E156" s="44" t="s">
        <v>129</v>
      </c>
      <c r="F156" s="44" t="s">
        <v>129</v>
      </c>
      <c r="G156" s="44" t="s">
        <v>129</v>
      </c>
      <c r="H156" s="70" t="s">
        <v>321</v>
      </c>
      <c r="I156" s="525">
        <v>645000000</v>
      </c>
      <c r="J156" s="525">
        <v>635300006.65999997</v>
      </c>
      <c r="K156" s="525">
        <v>609235528</v>
      </c>
      <c r="L156" s="525">
        <v>603235528</v>
      </c>
      <c r="M156" s="525"/>
      <c r="N156" s="525"/>
      <c r="O156" s="525"/>
      <c r="P156" s="525"/>
      <c r="Q156" s="525"/>
      <c r="R156" s="525"/>
      <c r="S156" s="525"/>
      <c r="T156" s="525"/>
      <c r="U156" s="525"/>
      <c r="V156" s="525"/>
      <c r="W156" s="525"/>
      <c r="X156" s="525"/>
      <c r="Y156" s="525">
        <f t="shared" ref="Y156:AB156" si="84">+I156+M156+Q156+U156</f>
        <v>645000000</v>
      </c>
      <c r="Z156" s="525">
        <f t="shared" si="84"/>
        <v>635300006.65999997</v>
      </c>
      <c r="AA156" s="525">
        <f t="shared" si="84"/>
        <v>609235528</v>
      </c>
      <c r="AB156" s="525">
        <f t="shared" si="84"/>
        <v>603235528</v>
      </c>
      <c r="AC156" s="37"/>
    </row>
    <row r="157" spans="1:29" ht="16.5" thickTop="1" thickBot="1" x14ac:dyDescent="0.3">
      <c r="A157" s="58">
        <v>2</v>
      </c>
      <c r="B157" s="58" t="s">
        <v>139</v>
      </c>
      <c r="C157" s="58" t="s">
        <v>183</v>
      </c>
      <c r="D157" s="58">
        <v>10</v>
      </c>
      <c r="E157" s="58"/>
      <c r="F157" s="58"/>
      <c r="G157" s="58"/>
      <c r="H157" s="69" t="s">
        <v>1087</v>
      </c>
      <c r="I157" s="532">
        <f>+I158</f>
        <v>1140000000</v>
      </c>
      <c r="J157" s="532">
        <f t="shared" ref="J157:AB159" si="85">+J158</f>
        <v>767376643.79999995</v>
      </c>
      <c r="K157" s="532">
        <f t="shared" si="85"/>
        <v>342271445</v>
      </c>
      <c r="L157" s="532">
        <f t="shared" si="85"/>
        <v>342271445</v>
      </c>
      <c r="M157" s="532">
        <f t="shared" si="85"/>
        <v>0</v>
      </c>
      <c r="N157" s="532">
        <f t="shared" si="85"/>
        <v>0</v>
      </c>
      <c r="O157" s="532">
        <f t="shared" si="85"/>
        <v>0</v>
      </c>
      <c r="P157" s="532">
        <f t="shared" si="85"/>
        <v>0</v>
      </c>
      <c r="Q157" s="532">
        <f t="shared" si="85"/>
        <v>0</v>
      </c>
      <c r="R157" s="532">
        <f t="shared" si="85"/>
        <v>0</v>
      </c>
      <c r="S157" s="532">
        <f t="shared" si="85"/>
        <v>0</v>
      </c>
      <c r="T157" s="532">
        <f t="shared" si="85"/>
        <v>0</v>
      </c>
      <c r="U157" s="532">
        <f t="shared" si="85"/>
        <v>0</v>
      </c>
      <c r="V157" s="532">
        <f t="shared" si="85"/>
        <v>0</v>
      </c>
      <c r="W157" s="532">
        <f t="shared" si="85"/>
        <v>0</v>
      </c>
      <c r="X157" s="532">
        <f t="shared" si="85"/>
        <v>0</v>
      </c>
      <c r="Y157" s="532">
        <f t="shared" si="85"/>
        <v>1140000000</v>
      </c>
      <c r="Z157" s="532">
        <f t="shared" si="85"/>
        <v>767376643.79999995</v>
      </c>
      <c r="AA157" s="532">
        <f t="shared" si="85"/>
        <v>342271445</v>
      </c>
      <c r="AB157" s="532">
        <f t="shared" si="85"/>
        <v>342271445</v>
      </c>
      <c r="AC157" s="37"/>
    </row>
    <row r="158" spans="1:29" ht="16.5" thickTop="1" thickBot="1" x14ac:dyDescent="0.3">
      <c r="A158" s="58">
        <v>3</v>
      </c>
      <c r="B158" s="58" t="s">
        <v>139</v>
      </c>
      <c r="C158" s="58" t="s">
        <v>183</v>
      </c>
      <c r="D158" s="58">
        <v>10</v>
      </c>
      <c r="E158" s="58" t="s">
        <v>129</v>
      </c>
      <c r="F158" s="58"/>
      <c r="G158" s="58"/>
      <c r="H158" s="69" t="s">
        <v>319</v>
      </c>
      <c r="I158" s="532">
        <f>+I159</f>
        <v>1140000000</v>
      </c>
      <c r="J158" s="532">
        <f t="shared" si="85"/>
        <v>767376643.79999995</v>
      </c>
      <c r="K158" s="532">
        <f t="shared" si="85"/>
        <v>342271445</v>
      </c>
      <c r="L158" s="532">
        <f t="shared" si="85"/>
        <v>342271445</v>
      </c>
      <c r="M158" s="532">
        <f t="shared" si="85"/>
        <v>0</v>
      </c>
      <c r="N158" s="532">
        <f t="shared" si="85"/>
        <v>0</v>
      </c>
      <c r="O158" s="532">
        <f t="shared" si="85"/>
        <v>0</v>
      </c>
      <c r="P158" s="532">
        <f t="shared" si="85"/>
        <v>0</v>
      </c>
      <c r="Q158" s="532">
        <f t="shared" si="85"/>
        <v>0</v>
      </c>
      <c r="R158" s="532">
        <f t="shared" si="85"/>
        <v>0</v>
      </c>
      <c r="S158" s="532">
        <f t="shared" si="85"/>
        <v>0</v>
      </c>
      <c r="T158" s="532">
        <f t="shared" si="85"/>
        <v>0</v>
      </c>
      <c r="U158" s="532">
        <f t="shared" si="85"/>
        <v>0</v>
      </c>
      <c r="V158" s="532">
        <f t="shared" si="85"/>
        <v>0</v>
      </c>
      <c r="W158" s="532">
        <f t="shared" si="85"/>
        <v>0</v>
      </c>
      <c r="X158" s="532">
        <f t="shared" si="85"/>
        <v>0</v>
      </c>
      <c r="Y158" s="532">
        <f t="shared" si="85"/>
        <v>1140000000</v>
      </c>
      <c r="Z158" s="532">
        <f t="shared" si="85"/>
        <v>767376643.79999995</v>
      </c>
      <c r="AA158" s="532">
        <f t="shared" si="85"/>
        <v>342271445</v>
      </c>
      <c r="AB158" s="532">
        <f t="shared" si="85"/>
        <v>342271445</v>
      </c>
      <c r="AC158" s="37"/>
    </row>
    <row r="159" spans="1:29" ht="16.5" thickTop="1" thickBot="1" x14ac:dyDescent="0.3">
      <c r="A159" s="43">
        <v>2</v>
      </c>
      <c r="B159" s="43" t="s">
        <v>139</v>
      </c>
      <c r="C159" s="44" t="s">
        <v>183</v>
      </c>
      <c r="D159" s="44" t="s">
        <v>181</v>
      </c>
      <c r="E159" s="44" t="s">
        <v>129</v>
      </c>
      <c r="F159" s="44" t="s">
        <v>129</v>
      </c>
      <c r="G159" s="43"/>
      <c r="H159" s="70" t="s">
        <v>320</v>
      </c>
      <c r="I159" s="525">
        <f>+I160</f>
        <v>1140000000</v>
      </c>
      <c r="J159" s="525">
        <f t="shared" si="85"/>
        <v>767376643.79999995</v>
      </c>
      <c r="K159" s="525">
        <f t="shared" si="85"/>
        <v>342271445</v>
      </c>
      <c r="L159" s="525">
        <f t="shared" si="85"/>
        <v>342271445</v>
      </c>
      <c r="M159" s="525">
        <f t="shared" si="85"/>
        <v>0</v>
      </c>
      <c r="N159" s="525">
        <f t="shared" si="85"/>
        <v>0</v>
      </c>
      <c r="O159" s="525">
        <f t="shared" si="85"/>
        <v>0</v>
      </c>
      <c r="P159" s="525">
        <f t="shared" si="85"/>
        <v>0</v>
      </c>
      <c r="Q159" s="525">
        <f t="shared" si="85"/>
        <v>0</v>
      </c>
      <c r="R159" s="525">
        <f t="shared" si="85"/>
        <v>0</v>
      </c>
      <c r="S159" s="525">
        <f t="shared" si="85"/>
        <v>0</v>
      </c>
      <c r="T159" s="525">
        <f t="shared" si="85"/>
        <v>0</v>
      </c>
      <c r="U159" s="525">
        <f t="shared" si="85"/>
        <v>0</v>
      </c>
      <c r="V159" s="525">
        <f t="shared" si="85"/>
        <v>0</v>
      </c>
      <c r="W159" s="525">
        <f t="shared" si="85"/>
        <v>0</v>
      </c>
      <c r="X159" s="525">
        <f t="shared" si="85"/>
        <v>0</v>
      </c>
      <c r="Y159" s="525">
        <f t="shared" si="85"/>
        <v>1140000000</v>
      </c>
      <c r="Z159" s="525">
        <f t="shared" si="85"/>
        <v>767376643.79999995</v>
      </c>
      <c r="AA159" s="525">
        <f t="shared" si="85"/>
        <v>342271445</v>
      </c>
      <c r="AB159" s="525">
        <f t="shared" si="85"/>
        <v>342271445</v>
      </c>
      <c r="AC159" s="37"/>
    </row>
    <row r="160" spans="1:29" ht="16.5" thickTop="1" thickBot="1" x14ac:dyDescent="0.3">
      <c r="A160" s="43">
        <v>2</v>
      </c>
      <c r="B160" s="43" t="s">
        <v>139</v>
      </c>
      <c r="C160" s="44" t="s">
        <v>183</v>
      </c>
      <c r="D160" s="44" t="s">
        <v>181</v>
      </c>
      <c r="E160" s="44" t="s">
        <v>129</v>
      </c>
      <c r="F160" s="44" t="s">
        <v>129</v>
      </c>
      <c r="G160" s="44" t="s">
        <v>129</v>
      </c>
      <c r="H160" s="70" t="s">
        <v>321</v>
      </c>
      <c r="I160" s="525">
        <v>1140000000</v>
      </c>
      <c r="J160" s="525">
        <v>767376643.79999995</v>
      </c>
      <c r="K160" s="525">
        <v>342271445</v>
      </c>
      <c r="L160" s="525">
        <v>342271445</v>
      </c>
      <c r="M160" s="525"/>
      <c r="N160" s="525"/>
      <c r="O160" s="525"/>
      <c r="P160" s="525"/>
      <c r="Q160" s="525"/>
      <c r="R160" s="525"/>
      <c r="S160" s="525"/>
      <c r="T160" s="525"/>
      <c r="U160" s="525"/>
      <c r="V160" s="525"/>
      <c r="W160" s="525"/>
      <c r="X160" s="525"/>
      <c r="Y160" s="525">
        <f t="shared" ref="Y160:AB160" si="86">+I160+M160+Q160+U160</f>
        <v>1140000000</v>
      </c>
      <c r="Z160" s="525">
        <f t="shared" si="86"/>
        <v>767376643.79999995</v>
      </c>
      <c r="AA160" s="525">
        <f t="shared" si="86"/>
        <v>342271445</v>
      </c>
      <c r="AB160" s="525">
        <f t="shared" si="86"/>
        <v>342271445</v>
      </c>
      <c r="AC160" s="37"/>
    </row>
    <row r="161" spans="1:29" ht="16.5" thickTop="1" thickBot="1" x14ac:dyDescent="0.3">
      <c r="A161" s="67">
        <v>2</v>
      </c>
      <c r="B161" s="38" t="s">
        <v>139</v>
      </c>
      <c r="C161" s="38" t="s">
        <v>193</v>
      </c>
      <c r="D161" s="38"/>
      <c r="E161" s="67"/>
      <c r="F161" s="67"/>
      <c r="G161" s="67"/>
      <c r="H161" s="68" t="s">
        <v>1088</v>
      </c>
      <c r="I161" s="531">
        <f>+I162</f>
        <v>6628530984</v>
      </c>
      <c r="J161" s="531">
        <f t="shared" ref="J161:AB164" si="87">+J162</f>
        <v>6515110547</v>
      </c>
      <c r="K161" s="531">
        <f t="shared" si="87"/>
        <v>6500860547</v>
      </c>
      <c r="L161" s="531">
        <f t="shared" si="87"/>
        <v>6500860547</v>
      </c>
      <c r="M161" s="531">
        <f t="shared" si="87"/>
        <v>0</v>
      </c>
      <c r="N161" s="531">
        <f t="shared" si="87"/>
        <v>0</v>
      </c>
      <c r="O161" s="531">
        <f t="shared" si="87"/>
        <v>0</v>
      </c>
      <c r="P161" s="531">
        <f t="shared" si="87"/>
        <v>0</v>
      </c>
      <c r="Q161" s="531">
        <f t="shared" si="87"/>
        <v>0</v>
      </c>
      <c r="R161" s="531">
        <f t="shared" si="87"/>
        <v>0</v>
      </c>
      <c r="S161" s="531">
        <f t="shared" si="87"/>
        <v>0</v>
      </c>
      <c r="T161" s="531">
        <f t="shared" si="87"/>
        <v>0</v>
      </c>
      <c r="U161" s="531">
        <f t="shared" si="87"/>
        <v>0</v>
      </c>
      <c r="V161" s="531">
        <f t="shared" si="87"/>
        <v>0</v>
      </c>
      <c r="W161" s="531">
        <f t="shared" si="87"/>
        <v>0</v>
      </c>
      <c r="X161" s="531">
        <f t="shared" si="87"/>
        <v>0</v>
      </c>
      <c r="Y161" s="531">
        <f t="shared" si="87"/>
        <v>6628530984</v>
      </c>
      <c r="Z161" s="531">
        <f t="shared" si="87"/>
        <v>6515110547</v>
      </c>
      <c r="AA161" s="531">
        <f t="shared" si="87"/>
        <v>6500860547</v>
      </c>
      <c r="AB161" s="531">
        <f t="shared" si="87"/>
        <v>6500860547</v>
      </c>
      <c r="AC161" s="37"/>
    </row>
    <row r="162" spans="1:29" ht="16.5" thickTop="1" thickBot="1" x14ac:dyDescent="0.3">
      <c r="A162" s="58">
        <v>2</v>
      </c>
      <c r="B162" s="58" t="s">
        <v>139</v>
      </c>
      <c r="C162" s="58">
        <v>13</v>
      </c>
      <c r="D162" s="58" t="s">
        <v>129</v>
      </c>
      <c r="E162" s="58"/>
      <c r="F162" s="58"/>
      <c r="G162" s="58"/>
      <c r="H162" s="69" t="s">
        <v>1089</v>
      </c>
      <c r="I162" s="532">
        <f>+I163</f>
        <v>6628530984</v>
      </c>
      <c r="J162" s="532">
        <f t="shared" si="87"/>
        <v>6515110547</v>
      </c>
      <c r="K162" s="532">
        <f t="shared" si="87"/>
        <v>6500860547</v>
      </c>
      <c r="L162" s="532">
        <f t="shared" si="87"/>
        <v>6500860547</v>
      </c>
      <c r="M162" s="532">
        <f t="shared" si="87"/>
        <v>0</v>
      </c>
      <c r="N162" s="532">
        <f t="shared" si="87"/>
        <v>0</v>
      </c>
      <c r="O162" s="532">
        <f t="shared" si="87"/>
        <v>0</v>
      </c>
      <c r="P162" s="532">
        <f t="shared" si="87"/>
        <v>0</v>
      </c>
      <c r="Q162" s="532">
        <f t="shared" si="87"/>
        <v>0</v>
      </c>
      <c r="R162" s="532">
        <f t="shared" si="87"/>
        <v>0</v>
      </c>
      <c r="S162" s="532">
        <f t="shared" si="87"/>
        <v>0</v>
      </c>
      <c r="T162" s="532">
        <f t="shared" si="87"/>
        <v>0</v>
      </c>
      <c r="U162" s="532">
        <f t="shared" si="87"/>
        <v>0</v>
      </c>
      <c r="V162" s="532">
        <f t="shared" si="87"/>
        <v>0</v>
      </c>
      <c r="W162" s="532">
        <f t="shared" si="87"/>
        <v>0</v>
      </c>
      <c r="X162" s="532">
        <f t="shared" si="87"/>
        <v>0</v>
      </c>
      <c r="Y162" s="532">
        <f t="shared" si="87"/>
        <v>6628530984</v>
      </c>
      <c r="Z162" s="532">
        <f t="shared" si="87"/>
        <v>6515110547</v>
      </c>
      <c r="AA162" s="532">
        <f t="shared" si="87"/>
        <v>6500860547</v>
      </c>
      <c r="AB162" s="532">
        <f t="shared" si="87"/>
        <v>6500860547</v>
      </c>
      <c r="AC162" s="37"/>
    </row>
    <row r="163" spans="1:29" ht="16.5" thickTop="1" thickBot="1" x14ac:dyDescent="0.3">
      <c r="A163" s="58">
        <v>3</v>
      </c>
      <c r="B163" s="58" t="s">
        <v>139</v>
      </c>
      <c r="C163" s="58">
        <v>13</v>
      </c>
      <c r="D163" s="58" t="s">
        <v>129</v>
      </c>
      <c r="E163" s="58" t="s">
        <v>129</v>
      </c>
      <c r="F163" s="58"/>
      <c r="G163" s="58"/>
      <c r="H163" s="69" t="s">
        <v>319</v>
      </c>
      <c r="I163" s="532">
        <f>+I164</f>
        <v>6628530984</v>
      </c>
      <c r="J163" s="532">
        <f t="shared" si="87"/>
        <v>6515110547</v>
      </c>
      <c r="K163" s="532">
        <f t="shared" si="87"/>
        <v>6500860547</v>
      </c>
      <c r="L163" s="532">
        <f t="shared" si="87"/>
        <v>6500860547</v>
      </c>
      <c r="M163" s="532">
        <f t="shared" si="87"/>
        <v>0</v>
      </c>
      <c r="N163" s="532">
        <f t="shared" si="87"/>
        <v>0</v>
      </c>
      <c r="O163" s="532">
        <f t="shared" si="87"/>
        <v>0</v>
      </c>
      <c r="P163" s="532">
        <f t="shared" si="87"/>
        <v>0</v>
      </c>
      <c r="Q163" s="532">
        <f t="shared" si="87"/>
        <v>0</v>
      </c>
      <c r="R163" s="532">
        <f t="shared" si="87"/>
        <v>0</v>
      </c>
      <c r="S163" s="532">
        <f t="shared" si="87"/>
        <v>0</v>
      </c>
      <c r="T163" s="532">
        <f t="shared" si="87"/>
        <v>0</v>
      </c>
      <c r="U163" s="532">
        <f t="shared" si="87"/>
        <v>0</v>
      </c>
      <c r="V163" s="532">
        <f t="shared" si="87"/>
        <v>0</v>
      </c>
      <c r="W163" s="532">
        <f t="shared" si="87"/>
        <v>0</v>
      </c>
      <c r="X163" s="532">
        <f t="shared" si="87"/>
        <v>0</v>
      </c>
      <c r="Y163" s="532">
        <f t="shared" si="87"/>
        <v>6628530984</v>
      </c>
      <c r="Z163" s="532">
        <f t="shared" si="87"/>
        <v>6515110547</v>
      </c>
      <c r="AA163" s="532">
        <f t="shared" si="87"/>
        <v>6500860547</v>
      </c>
      <c r="AB163" s="532">
        <f t="shared" si="87"/>
        <v>6500860547</v>
      </c>
      <c r="AC163" s="37"/>
    </row>
    <row r="164" spans="1:29" ht="16.5" thickTop="1" thickBot="1" x14ac:dyDescent="0.3">
      <c r="A164" s="43">
        <v>2</v>
      </c>
      <c r="B164" s="43" t="s">
        <v>139</v>
      </c>
      <c r="C164" s="44" t="s">
        <v>193</v>
      </c>
      <c r="D164" s="44" t="s">
        <v>129</v>
      </c>
      <c r="E164" s="44" t="s">
        <v>129</v>
      </c>
      <c r="F164" s="44" t="s">
        <v>129</v>
      </c>
      <c r="G164" s="43"/>
      <c r="H164" s="70" t="s">
        <v>320</v>
      </c>
      <c r="I164" s="525">
        <f>+I165</f>
        <v>6628530984</v>
      </c>
      <c r="J164" s="525">
        <f t="shared" si="87"/>
        <v>6515110547</v>
      </c>
      <c r="K164" s="525">
        <f t="shared" si="87"/>
        <v>6500860547</v>
      </c>
      <c r="L164" s="525">
        <f t="shared" si="87"/>
        <v>6500860547</v>
      </c>
      <c r="M164" s="525">
        <f t="shared" si="87"/>
        <v>0</v>
      </c>
      <c r="N164" s="525">
        <f t="shared" si="87"/>
        <v>0</v>
      </c>
      <c r="O164" s="525">
        <f t="shared" si="87"/>
        <v>0</v>
      </c>
      <c r="P164" s="525">
        <f t="shared" si="87"/>
        <v>0</v>
      </c>
      <c r="Q164" s="525">
        <f t="shared" si="87"/>
        <v>0</v>
      </c>
      <c r="R164" s="525">
        <f t="shared" si="87"/>
        <v>0</v>
      </c>
      <c r="S164" s="525">
        <f t="shared" si="87"/>
        <v>0</v>
      </c>
      <c r="T164" s="525">
        <f t="shared" si="87"/>
        <v>0</v>
      </c>
      <c r="U164" s="525">
        <f t="shared" si="87"/>
        <v>0</v>
      </c>
      <c r="V164" s="525">
        <f t="shared" si="87"/>
        <v>0</v>
      </c>
      <c r="W164" s="525">
        <f t="shared" si="87"/>
        <v>0</v>
      </c>
      <c r="X164" s="525">
        <f t="shared" si="87"/>
        <v>0</v>
      </c>
      <c r="Y164" s="525">
        <f t="shared" si="87"/>
        <v>6628530984</v>
      </c>
      <c r="Z164" s="525">
        <f t="shared" si="87"/>
        <v>6515110547</v>
      </c>
      <c r="AA164" s="525">
        <f t="shared" si="87"/>
        <v>6500860547</v>
      </c>
      <c r="AB164" s="525">
        <f t="shared" si="87"/>
        <v>6500860547</v>
      </c>
      <c r="AC164" s="37"/>
    </row>
    <row r="165" spans="1:29" ht="16.5" thickTop="1" thickBot="1" x14ac:dyDescent="0.3">
      <c r="A165" s="43">
        <v>2</v>
      </c>
      <c r="B165" s="43" t="s">
        <v>139</v>
      </c>
      <c r="C165" s="44" t="s">
        <v>193</v>
      </c>
      <c r="D165" s="44" t="s">
        <v>129</v>
      </c>
      <c r="E165" s="44" t="s">
        <v>129</v>
      </c>
      <c r="F165" s="44" t="s">
        <v>129</v>
      </c>
      <c r="G165" s="44" t="s">
        <v>129</v>
      </c>
      <c r="H165" s="70" t="s">
        <v>321</v>
      </c>
      <c r="I165" s="525">
        <v>6628530984</v>
      </c>
      <c r="J165" s="525">
        <v>6515110547</v>
      </c>
      <c r="K165" s="525">
        <v>6500860547</v>
      </c>
      <c r="L165" s="525">
        <v>6500860547</v>
      </c>
      <c r="M165" s="525"/>
      <c r="N165" s="525"/>
      <c r="O165" s="525"/>
      <c r="P165" s="525"/>
      <c r="Q165" s="525"/>
      <c r="R165" s="525"/>
      <c r="S165" s="525"/>
      <c r="T165" s="525"/>
      <c r="U165" s="525"/>
      <c r="V165" s="525"/>
      <c r="W165" s="525"/>
      <c r="X165" s="525"/>
      <c r="Y165" s="525">
        <f t="shared" ref="Y165:AB166" si="88">+I165+M165+Q165+U165</f>
        <v>6628530984</v>
      </c>
      <c r="Z165" s="525">
        <f t="shared" si="88"/>
        <v>6515110547</v>
      </c>
      <c r="AA165" s="525">
        <f t="shared" si="88"/>
        <v>6500860547</v>
      </c>
      <c r="AB165" s="525">
        <f t="shared" si="88"/>
        <v>6500860547</v>
      </c>
      <c r="AC165" s="37"/>
    </row>
    <row r="166" spans="1:29" ht="16.5" thickTop="1" thickBot="1" x14ac:dyDescent="0.3">
      <c r="A166" s="533"/>
      <c r="B166" s="533"/>
      <c r="C166" s="534"/>
      <c r="D166" s="534"/>
      <c r="E166" s="534"/>
      <c r="F166" s="534"/>
      <c r="G166" s="534"/>
      <c r="H166" s="535" t="s">
        <v>1090</v>
      </c>
      <c r="I166" s="536">
        <f t="shared" ref="I166:X166" si="89">+I47+I37+I4</f>
        <v>145664403210</v>
      </c>
      <c r="J166" s="536">
        <f t="shared" si="89"/>
        <v>112437719407.55002</v>
      </c>
      <c r="K166" s="536">
        <f t="shared" si="89"/>
        <v>95942891810.51001</v>
      </c>
      <c r="L166" s="536">
        <f t="shared" si="89"/>
        <v>93614706538.51001</v>
      </c>
      <c r="M166" s="536">
        <f t="shared" si="89"/>
        <v>2188639680</v>
      </c>
      <c r="N166" s="536">
        <f t="shared" si="89"/>
        <v>2188639680</v>
      </c>
      <c r="O166" s="536">
        <f t="shared" si="89"/>
        <v>2188639680</v>
      </c>
      <c r="P166" s="536">
        <f t="shared" si="89"/>
        <v>2188639680</v>
      </c>
      <c r="Q166" s="536">
        <f t="shared" si="89"/>
        <v>0</v>
      </c>
      <c r="R166" s="536">
        <f t="shared" si="89"/>
        <v>0</v>
      </c>
      <c r="S166" s="536">
        <f t="shared" si="89"/>
        <v>0</v>
      </c>
      <c r="T166" s="536">
        <f t="shared" si="89"/>
        <v>0</v>
      </c>
      <c r="U166" s="536">
        <f t="shared" si="89"/>
        <v>0</v>
      </c>
      <c r="V166" s="536">
        <f t="shared" si="89"/>
        <v>0</v>
      </c>
      <c r="W166" s="536">
        <f t="shared" si="89"/>
        <v>0</v>
      </c>
      <c r="X166" s="536">
        <f t="shared" si="89"/>
        <v>0</v>
      </c>
      <c r="Y166" s="536">
        <f t="shared" si="88"/>
        <v>147853042890</v>
      </c>
      <c r="Z166" s="536">
        <f t="shared" si="88"/>
        <v>114626359087.55002</v>
      </c>
      <c r="AA166" s="536">
        <f t="shared" si="88"/>
        <v>98131531490.51001</v>
      </c>
      <c r="AB166" s="536">
        <f t="shared" si="88"/>
        <v>95803346218.51001</v>
      </c>
      <c r="AC166" s="37"/>
    </row>
    <row r="167" spans="1:29" ht="15.75" thickTop="1" x14ac:dyDescent="0.25"/>
    <row r="171" spans="1:29" x14ac:dyDescent="0.25">
      <c r="L171" s="542"/>
    </row>
  </sheetData>
  <mergeCells count="13">
    <mergeCell ref="U2:X2"/>
    <mergeCell ref="Y2:AB2"/>
    <mergeCell ref="H2:H3"/>
    <mergeCell ref="I2:L2"/>
    <mergeCell ref="A2:A3"/>
    <mergeCell ref="B2:B3"/>
    <mergeCell ref="C2:C3"/>
    <mergeCell ref="D2:D3"/>
    <mergeCell ref="E2:E3"/>
    <mergeCell ref="F2:F3"/>
    <mergeCell ref="G2:G3"/>
    <mergeCell ref="M2:P2"/>
    <mergeCell ref="Q2:T2"/>
  </mergeCells>
  <printOptions horizontalCentered="1" verticalCentered="1"/>
  <pageMargins left="0.78740157480314965" right="0.78740157480314965" top="0.98425196850393704" bottom="0.98425196850393704" header="0" footer="0"/>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A6C15-1E16-4C76-885F-00A898E593DA}">
  <sheetPr>
    <pageSetUpPr fitToPage="1"/>
  </sheetPr>
  <dimension ref="A1:BG42"/>
  <sheetViews>
    <sheetView zoomScale="69" zoomScaleNormal="69" zoomScaleSheetLayoutView="100" workbookViewId="0">
      <selection activeCell="O17" sqref="O17"/>
    </sheetView>
  </sheetViews>
  <sheetFormatPr baseColWidth="10" defaultColWidth="14.42578125" defaultRowHeight="15" x14ac:dyDescent="0.25"/>
  <cols>
    <col min="1" max="1" width="16" style="107" customWidth="1"/>
    <col min="2" max="2" width="14.140625" style="107" customWidth="1"/>
    <col min="3" max="4" width="14.42578125" style="107" customWidth="1"/>
    <col min="5" max="7" width="10.7109375" style="107" customWidth="1"/>
    <col min="8" max="8" width="56.5703125" style="107" customWidth="1"/>
    <col min="9" max="9" width="20.28515625" style="108" customWidth="1"/>
    <col min="10" max="28" width="20.28515625" style="107" customWidth="1"/>
    <col min="29" max="29" width="51.42578125" style="107" customWidth="1"/>
    <col min="30" max="16384" width="14.42578125" style="107"/>
  </cols>
  <sheetData>
    <row r="1" spans="1:59" ht="30.75" customHeight="1" thickTop="1" thickBot="1" x14ac:dyDescent="0.3">
      <c r="A1" s="1984" t="s">
        <v>114</v>
      </c>
      <c r="B1" s="1984" t="s">
        <v>50</v>
      </c>
      <c r="C1" s="1982" t="s">
        <v>115</v>
      </c>
      <c r="D1" s="1984" t="s">
        <v>53</v>
      </c>
      <c r="E1" s="1984" t="s">
        <v>116</v>
      </c>
      <c r="F1" s="1984" t="s">
        <v>117</v>
      </c>
      <c r="G1" s="1984" t="s">
        <v>118</v>
      </c>
      <c r="H1" s="1982" t="s">
        <v>244</v>
      </c>
      <c r="I1" s="1979" t="s">
        <v>367</v>
      </c>
      <c r="J1" s="1986"/>
      <c r="K1" s="1986"/>
      <c r="L1" s="1987"/>
      <c r="M1" s="1979" t="s">
        <v>367</v>
      </c>
      <c r="N1" s="1986"/>
      <c r="O1" s="1986"/>
      <c r="P1" s="1987"/>
      <c r="Q1" s="1979" t="s">
        <v>367</v>
      </c>
      <c r="R1" s="1986"/>
      <c r="S1" s="1986"/>
      <c r="T1" s="1987"/>
      <c r="U1" s="1979" t="s">
        <v>367</v>
      </c>
      <c r="V1" s="1986"/>
      <c r="W1" s="1986"/>
      <c r="X1" s="1987"/>
      <c r="Y1" s="1979" t="s">
        <v>202</v>
      </c>
      <c r="Z1" s="1986"/>
      <c r="AA1" s="1986"/>
      <c r="AB1" s="1987"/>
      <c r="AC1" s="31" t="s">
        <v>203</v>
      </c>
    </row>
    <row r="2" spans="1:59" ht="30.75" customHeight="1" thickTop="1" thickBot="1" x14ac:dyDescent="0.3">
      <c r="A2" s="1985"/>
      <c r="B2" s="1985"/>
      <c r="C2" s="1983"/>
      <c r="D2" s="1985"/>
      <c r="E2" s="1985"/>
      <c r="F2" s="1985"/>
      <c r="G2" s="1985"/>
      <c r="H2" s="1983"/>
      <c r="I2" s="32" t="s">
        <v>204</v>
      </c>
      <c r="J2" s="519" t="s">
        <v>205</v>
      </c>
      <c r="K2" s="519" t="s">
        <v>206</v>
      </c>
      <c r="L2" s="519" t="s">
        <v>207</v>
      </c>
      <c r="M2" s="519" t="s">
        <v>204</v>
      </c>
      <c r="N2" s="519" t="s">
        <v>205</v>
      </c>
      <c r="O2" s="519" t="s">
        <v>206</v>
      </c>
      <c r="P2" s="519" t="s">
        <v>207</v>
      </c>
      <c r="Q2" s="519" t="s">
        <v>204</v>
      </c>
      <c r="R2" s="519" t="s">
        <v>205</v>
      </c>
      <c r="S2" s="519" t="s">
        <v>206</v>
      </c>
      <c r="T2" s="519" t="s">
        <v>207</v>
      </c>
      <c r="U2" s="519" t="s">
        <v>204</v>
      </c>
      <c r="V2" s="519" t="s">
        <v>205</v>
      </c>
      <c r="W2" s="519" t="s">
        <v>206</v>
      </c>
      <c r="X2" s="519" t="s">
        <v>207</v>
      </c>
      <c r="Y2" s="519" t="s">
        <v>204</v>
      </c>
      <c r="Z2" s="519" t="s">
        <v>205</v>
      </c>
      <c r="AA2" s="519" t="s">
        <v>206</v>
      </c>
      <c r="AB2" s="519" t="s">
        <v>208</v>
      </c>
      <c r="AC2" s="519"/>
    </row>
    <row r="3" spans="1:59" ht="16.5" thickTop="1" thickBot="1" x14ac:dyDescent="0.3">
      <c r="A3" s="33">
        <v>2</v>
      </c>
      <c r="B3" s="33" t="s">
        <v>139</v>
      </c>
      <c r="C3" s="33"/>
      <c r="D3" s="33"/>
      <c r="E3" s="33"/>
      <c r="F3" s="33"/>
      <c r="G3" s="33"/>
      <c r="H3" s="109" t="s">
        <v>325</v>
      </c>
      <c r="I3" s="110">
        <f t="shared" ref="I3:X3" si="0">+I5+I14</f>
        <v>0</v>
      </c>
      <c r="J3" s="110">
        <f t="shared" si="0"/>
        <v>0</v>
      </c>
      <c r="K3" s="110">
        <f t="shared" si="0"/>
        <v>0</v>
      </c>
      <c r="L3" s="110">
        <f t="shared" si="0"/>
        <v>0</v>
      </c>
      <c r="M3" s="110">
        <f t="shared" si="0"/>
        <v>0</v>
      </c>
      <c r="N3" s="110">
        <f t="shared" si="0"/>
        <v>0</v>
      </c>
      <c r="O3" s="110">
        <f t="shared" si="0"/>
        <v>0</v>
      </c>
      <c r="P3" s="110">
        <f t="shared" si="0"/>
        <v>0</v>
      </c>
      <c r="Q3" s="110">
        <f t="shared" si="0"/>
        <v>0</v>
      </c>
      <c r="R3" s="110">
        <f t="shared" si="0"/>
        <v>0</v>
      </c>
      <c r="S3" s="110">
        <f t="shared" si="0"/>
        <v>0</v>
      </c>
      <c r="T3" s="110">
        <f t="shared" si="0"/>
        <v>0</v>
      </c>
      <c r="U3" s="110">
        <f t="shared" si="0"/>
        <v>0</v>
      </c>
      <c r="V3" s="110">
        <f t="shared" si="0"/>
        <v>0</v>
      </c>
      <c r="W3" s="110">
        <f t="shared" si="0"/>
        <v>0</v>
      </c>
      <c r="X3" s="110">
        <f t="shared" si="0"/>
        <v>0</v>
      </c>
      <c r="Y3" s="111">
        <f t="shared" ref="Y3:AB23" si="1">+I3+M3+Q3+U3</f>
        <v>0</v>
      </c>
      <c r="Z3" s="111">
        <f t="shared" si="1"/>
        <v>0</v>
      </c>
      <c r="AA3" s="111">
        <f t="shared" si="1"/>
        <v>0</v>
      </c>
      <c r="AB3" s="111">
        <f t="shared" si="1"/>
        <v>0</v>
      </c>
      <c r="AC3" s="37"/>
    </row>
    <row r="4" spans="1:59" ht="16.5" thickTop="1" thickBot="1" x14ac:dyDescent="0.3">
      <c r="A4" s="67"/>
      <c r="B4" s="38"/>
      <c r="C4" s="38"/>
      <c r="D4" s="38"/>
      <c r="E4" s="67"/>
      <c r="F4" s="67"/>
      <c r="G4" s="67"/>
      <c r="H4" s="112" t="s">
        <v>322</v>
      </c>
      <c r="I4" s="113">
        <f>+I5+I14</f>
        <v>0</v>
      </c>
      <c r="J4" s="113">
        <f t="shared" ref="J4:AB4" si="2">+J5+J14</f>
        <v>0</v>
      </c>
      <c r="K4" s="113">
        <f t="shared" si="2"/>
        <v>0</v>
      </c>
      <c r="L4" s="113">
        <f t="shared" si="2"/>
        <v>0</v>
      </c>
      <c r="M4" s="113">
        <f t="shared" si="2"/>
        <v>0</v>
      </c>
      <c r="N4" s="113">
        <f t="shared" si="2"/>
        <v>0</v>
      </c>
      <c r="O4" s="113">
        <f t="shared" si="2"/>
        <v>0</v>
      </c>
      <c r="P4" s="113">
        <f t="shared" si="2"/>
        <v>0</v>
      </c>
      <c r="Q4" s="113">
        <f t="shared" si="2"/>
        <v>0</v>
      </c>
      <c r="R4" s="113">
        <f t="shared" si="2"/>
        <v>0</v>
      </c>
      <c r="S4" s="113">
        <f t="shared" si="2"/>
        <v>0</v>
      </c>
      <c r="T4" s="113">
        <f t="shared" si="2"/>
        <v>0</v>
      </c>
      <c r="U4" s="113">
        <f t="shared" si="2"/>
        <v>0</v>
      </c>
      <c r="V4" s="113">
        <f t="shared" si="2"/>
        <v>0</v>
      </c>
      <c r="W4" s="113">
        <f t="shared" si="2"/>
        <v>0</v>
      </c>
      <c r="X4" s="113">
        <f t="shared" si="2"/>
        <v>0</v>
      </c>
      <c r="Y4" s="113">
        <f t="shared" si="2"/>
        <v>0</v>
      </c>
      <c r="Z4" s="113">
        <f t="shared" si="2"/>
        <v>0</v>
      </c>
      <c r="AA4" s="113">
        <f t="shared" si="2"/>
        <v>0</v>
      </c>
      <c r="AB4" s="113">
        <f t="shared" si="2"/>
        <v>0</v>
      </c>
      <c r="AC4" s="37"/>
    </row>
    <row r="5" spans="1:59" ht="16.5" thickTop="1" thickBot="1" x14ac:dyDescent="0.3">
      <c r="A5" s="67"/>
      <c r="B5" s="38"/>
      <c r="C5" s="38"/>
      <c r="D5" s="94"/>
      <c r="E5" s="95"/>
      <c r="F5" s="95"/>
      <c r="G5" s="95"/>
      <c r="H5" s="114" t="s">
        <v>323</v>
      </c>
      <c r="I5" s="113">
        <f t="shared" ref="I5:X5" si="3">+I6+I10</f>
        <v>0</v>
      </c>
      <c r="J5" s="113">
        <f t="shared" si="3"/>
        <v>0</v>
      </c>
      <c r="K5" s="113">
        <f t="shared" si="3"/>
        <v>0</v>
      </c>
      <c r="L5" s="113">
        <f t="shared" si="3"/>
        <v>0</v>
      </c>
      <c r="M5" s="113">
        <f t="shared" si="3"/>
        <v>0</v>
      </c>
      <c r="N5" s="113">
        <f t="shared" si="3"/>
        <v>0</v>
      </c>
      <c r="O5" s="113">
        <f t="shared" si="3"/>
        <v>0</v>
      </c>
      <c r="P5" s="113">
        <f t="shared" si="3"/>
        <v>0</v>
      </c>
      <c r="Q5" s="113">
        <f t="shared" si="3"/>
        <v>0</v>
      </c>
      <c r="R5" s="113">
        <f t="shared" si="3"/>
        <v>0</v>
      </c>
      <c r="S5" s="113">
        <f t="shared" si="3"/>
        <v>0</v>
      </c>
      <c r="T5" s="113">
        <f t="shared" si="3"/>
        <v>0</v>
      </c>
      <c r="U5" s="113">
        <f t="shared" si="3"/>
        <v>0</v>
      </c>
      <c r="V5" s="113">
        <f t="shared" si="3"/>
        <v>0</v>
      </c>
      <c r="W5" s="113">
        <f t="shared" si="3"/>
        <v>0</v>
      </c>
      <c r="X5" s="113">
        <f t="shared" si="3"/>
        <v>0</v>
      </c>
      <c r="Y5" s="115">
        <f>+I5+M5+Q5+U5</f>
        <v>0</v>
      </c>
      <c r="Z5" s="115">
        <f>+J5+N5+R5+V5</f>
        <v>0</v>
      </c>
      <c r="AA5" s="115">
        <f>+K5+O5+S5+W5</f>
        <v>0</v>
      </c>
      <c r="AB5" s="115">
        <f>+L5+P5+T5+X5</f>
        <v>0</v>
      </c>
      <c r="AC5" s="37"/>
    </row>
    <row r="6" spans="1:59" ht="16.5" thickTop="1" thickBot="1" x14ac:dyDescent="0.3">
      <c r="A6" s="58"/>
      <c r="B6" s="58"/>
      <c r="C6" s="58"/>
      <c r="D6" s="58"/>
      <c r="E6" s="58"/>
      <c r="F6" s="58"/>
      <c r="G6" s="58"/>
      <c r="H6" s="116" t="s">
        <v>324</v>
      </c>
      <c r="I6" s="117">
        <f>+I7</f>
        <v>0</v>
      </c>
      <c r="J6" s="117">
        <f t="shared" ref="J6:X8" si="4">+J7</f>
        <v>0</v>
      </c>
      <c r="K6" s="117">
        <f t="shared" si="4"/>
        <v>0</v>
      </c>
      <c r="L6" s="117">
        <f t="shared" si="4"/>
        <v>0</v>
      </c>
      <c r="M6" s="117">
        <f t="shared" si="4"/>
        <v>0</v>
      </c>
      <c r="N6" s="117">
        <f t="shared" si="4"/>
        <v>0</v>
      </c>
      <c r="O6" s="117">
        <f t="shared" si="4"/>
        <v>0</v>
      </c>
      <c r="P6" s="117">
        <f t="shared" si="4"/>
        <v>0</v>
      </c>
      <c r="Q6" s="117">
        <f t="shared" si="4"/>
        <v>0</v>
      </c>
      <c r="R6" s="117">
        <f t="shared" si="4"/>
        <v>0</v>
      </c>
      <c r="S6" s="117">
        <f t="shared" si="4"/>
        <v>0</v>
      </c>
      <c r="T6" s="117">
        <f t="shared" si="4"/>
        <v>0</v>
      </c>
      <c r="U6" s="117">
        <f t="shared" si="4"/>
        <v>0</v>
      </c>
      <c r="V6" s="117">
        <f t="shared" si="4"/>
        <v>0</v>
      </c>
      <c r="W6" s="117">
        <f t="shared" si="4"/>
        <v>0</v>
      </c>
      <c r="X6" s="117">
        <f t="shared" si="4"/>
        <v>0</v>
      </c>
      <c r="Y6" s="118">
        <f t="shared" si="1"/>
        <v>0</v>
      </c>
      <c r="Z6" s="118">
        <f t="shared" si="1"/>
        <v>0</v>
      </c>
      <c r="AA6" s="118">
        <f t="shared" si="1"/>
        <v>0</v>
      </c>
      <c r="AB6" s="118">
        <f t="shared" si="1"/>
        <v>0</v>
      </c>
      <c r="AC6" s="37"/>
    </row>
    <row r="7" spans="1:59" ht="16.5" thickTop="1" thickBot="1" x14ac:dyDescent="0.3">
      <c r="A7" s="58"/>
      <c r="B7" s="58"/>
      <c r="C7" s="58"/>
      <c r="D7" s="58"/>
      <c r="E7" s="58"/>
      <c r="F7" s="58"/>
      <c r="G7" s="58"/>
      <c r="H7" s="116" t="s">
        <v>319</v>
      </c>
      <c r="I7" s="117">
        <f>+I8</f>
        <v>0</v>
      </c>
      <c r="J7" s="117">
        <f t="shared" si="4"/>
        <v>0</v>
      </c>
      <c r="K7" s="117">
        <f t="shared" si="4"/>
        <v>0</v>
      </c>
      <c r="L7" s="117">
        <f t="shared" si="4"/>
        <v>0</v>
      </c>
      <c r="M7" s="117">
        <f t="shared" si="4"/>
        <v>0</v>
      </c>
      <c r="N7" s="117">
        <f t="shared" si="4"/>
        <v>0</v>
      </c>
      <c r="O7" s="117">
        <f t="shared" si="4"/>
        <v>0</v>
      </c>
      <c r="P7" s="117">
        <f t="shared" si="4"/>
        <v>0</v>
      </c>
      <c r="Q7" s="117">
        <f t="shared" si="4"/>
        <v>0</v>
      </c>
      <c r="R7" s="117">
        <f t="shared" si="4"/>
        <v>0</v>
      </c>
      <c r="S7" s="117">
        <f t="shared" si="4"/>
        <v>0</v>
      </c>
      <c r="T7" s="117">
        <f t="shared" si="4"/>
        <v>0</v>
      </c>
      <c r="U7" s="117">
        <f t="shared" si="4"/>
        <v>0</v>
      </c>
      <c r="V7" s="117">
        <f t="shared" si="4"/>
        <v>0</v>
      </c>
      <c r="W7" s="117">
        <f t="shared" si="4"/>
        <v>0</v>
      </c>
      <c r="X7" s="117">
        <f t="shared" si="4"/>
        <v>0</v>
      </c>
      <c r="Y7" s="118">
        <f t="shared" si="1"/>
        <v>0</v>
      </c>
      <c r="Z7" s="118">
        <f t="shared" si="1"/>
        <v>0</v>
      </c>
      <c r="AA7" s="118">
        <f t="shared" si="1"/>
        <v>0</v>
      </c>
      <c r="AB7" s="118">
        <f t="shared" si="1"/>
        <v>0</v>
      </c>
      <c r="AC7" s="37"/>
    </row>
    <row r="8" spans="1:59" ht="16.5" thickTop="1" thickBot="1" x14ac:dyDescent="0.3">
      <c r="A8" s="43"/>
      <c r="B8" s="43"/>
      <c r="C8" s="43"/>
      <c r="D8" s="43"/>
      <c r="E8" s="44"/>
      <c r="F8" s="44"/>
      <c r="G8" s="43"/>
      <c r="H8" s="119" t="s">
        <v>320</v>
      </c>
      <c r="I8" s="120">
        <f>+I9</f>
        <v>0</v>
      </c>
      <c r="J8" s="120">
        <f t="shared" si="4"/>
        <v>0</v>
      </c>
      <c r="K8" s="120">
        <f t="shared" si="4"/>
        <v>0</v>
      </c>
      <c r="L8" s="120">
        <f t="shared" si="4"/>
        <v>0</v>
      </c>
      <c r="M8" s="120">
        <f t="shared" si="4"/>
        <v>0</v>
      </c>
      <c r="N8" s="120">
        <f t="shared" si="4"/>
        <v>0</v>
      </c>
      <c r="O8" s="120">
        <f t="shared" si="4"/>
        <v>0</v>
      </c>
      <c r="P8" s="120">
        <f t="shared" si="4"/>
        <v>0</v>
      </c>
      <c r="Q8" s="120">
        <f t="shared" si="4"/>
        <v>0</v>
      </c>
      <c r="R8" s="120">
        <f t="shared" si="4"/>
        <v>0</v>
      </c>
      <c r="S8" s="120">
        <f t="shared" si="4"/>
        <v>0</v>
      </c>
      <c r="T8" s="120">
        <f t="shared" si="4"/>
        <v>0</v>
      </c>
      <c r="U8" s="120">
        <f t="shared" si="4"/>
        <v>0</v>
      </c>
      <c r="V8" s="120">
        <f t="shared" si="4"/>
        <v>0</v>
      </c>
      <c r="W8" s="120">
        <f t="shared" si="4"/>
        <v>0</v>
      </c>
      <c r="X8" s="120">
        <f t="shared" si="4"/>
        <v>0</v>
      </c>
      <c r="Y8" s="121">
        <f t="shared" si="1"/>
        <v>0</v>
      </c>
      <c r="Z8" s="121">
        <f t="shared" si="1"/>
        <v>0</v>
      </c>
      <c r="AA8" s="121">
        <f t="shared" si="1"/>
        <v>0</v>
      </c>
      <c r="AB8" s="121">
        <f t="shared" si="1"/>
        <v>0</v>
      </c>
      <c r="AC8" s="37"/>
    </row>
    <row r="9" spans="1:59" ht="16.5" thickTop="1" thickBot="1" x14ac:dyDescent="0.3">
      <c r="A9" s="43"/>
      <c r="B9" s="43"/>
      <c r="C9" s="43"/>
      <c r="D9" s="43"/>
      <c r="E9" s="44"/>
      <c r="F9" s="44"/>
      <c r="G9" s="44"/>
      <c r="H9" s="119" t="s">
        <v>321</v>
      </c>
      <c r="I9" s="120"/>
      <c r="J9" s="120"/>
      <c r="K9" s="120"/>
      <c r="L9" s="120"/>
      <c r="M9" s="120"/>
      <c r="N9" s="120"/>
      <c r="O9" s="120"/>
      <c r="P9" s="120"/>
      <c r="Q9" s="120"/>
      <c r="R9" s="120"/>
      <c r="S9" s="120"/>
      <c r="T9" s="120"/>
      <c r="U9" s="120"/>
      <c r="V9" s="120"/>
      <c r="W9" s="120"/>
      <c r="X9" s="120"/>
      <c r="Y9" s="121">
        <f t="shared" si="1"/>
        <v>0</v>
      </c>
      <c r="Z9" s="121">
        <f t="shared" si="1"/>
        <v>0</v>
      </c>
      <c r="AA9" s="121">
        <f t="shared" si="1"/>
        <v>0</v>
      </c>
      <c r="AB9" s="121">
        <f t="shared" si="1"/>
        <v>0</v>
      </c>
      <c r="AC9" s="37"/>
    </row>
    <row r="10" spans="1:59" ht="16.5" thickTop="1" thickBot="1" x14ac:dyDescent="0.3">
      <c r="A10" s="58"/>
      <c r="B10" s="58"/>
      <c r="C10" s="58"/>
      <c r="D10" s="58"/>
      <c r="E10" s="58"/>
      <c r="F10" s="58"/>
      <c r="G10" s="58"/>
      <c r="H10" s="116" t="s">
        <v>326</v>
      </c>
      <c r="I10" s="117">
        <f>+I11</f>
        <v>0</v>
      </c>
      <c r="J10" s="117">
        <f t="shared" ref="J10:X12" si="5">+J11</f>
        <v>0</v>
      </c>
      <c r="K10" s="117">
        <f t="shared" si="5"/>
        <v>0</v>
      </c>
      <c r="L10" s="117">
        <f t="shared" si="5"/>
        <v>0</v>
      </c>
      <c r="M10" s="117">
        <f t="shared" si="5"/>
        <v>0</v>
      </c>
      <c r="N10" s="117">
        <f t="shared" si="5"/>
        <v>0</v>
      </c>
      <c r="O10" s="117">
        <f t="shared" si="5"/>
        <v>0</v>
      </c>
      <c r="P10" s="117">
        <f t="shared" si="5"/>
        <v>0</v>
      </c>
      <c r="Q10" s="117">
        <f t="shared" si="5"/>
        <v>0</v>
      </c>
      <c r="R10" s="117">
        <f t="shared" si="5"/>
        <v>0</v>
      </c>
      <c r="S10" s="117">
        <f t="shared" si="5"/>
        <v>0</v>
      </c>
      <c r="T10" s="117">
        <f t="shared" si="5"/>
        <v>0</v>
      </c>
      <c r="U10" s="117">
        <f t="shared" si="5"/>
        <v>0</v>
      </c>
      <c r="V10" s="117">
        <f t="shared" si="5"/>
        <v>0</v>
      </c>
      <c r="W10" s="117">
        <f t="shared" si="5"/>
        <v>0</v>
      </c>
      <c r="X10" s="117">
        <f t="shared" si="5"/>
        <v>0</v>
      </c>
      <c r="Y10" s="118">
        <f t="shared" si="1"/>
        <v>0</v>
      </c>
      <c r="Z10" s="118">
        <f t="shared" si="1"/>
        <v>0</v>
      </c>
      <c r="AA10" s="118">
        <f t="shared" si="1"/>
        <v>0</v>
      </c>
      <c r="AB10" s="118">
        <f t="shared" si="1"/>
        <v>0</v>
      </c>
      <c r="AC10" s="37"/>
    </row>
    <row r="11" spans="1:59" ht="16.5" thickTop="1" thickBot="1" x14ac:dyDescent="0.3">
      <c r="A11" s="58"/>
      <c r="B11" s="58"/>
      <c r="C11" s="58"/>
      <c r="D11" s="58"/>
      <c r="E11" s="58"/>
      <c r="F11" s="58"/>
      <c r="G11" s="58"/>
      <c r="H11" s="116" t="s">
        <v>319</v>
      </c>
      <c r="I11" s="117">
        <f>+I12</f>
        <v>0</v>
      </c>
      <c r="J11" s="117">
        <f t="shared" si="5"/>
        <v>0</v>
      </c>
      <c r="K11" s="117">
        <f t="shared" si="5"/>
        <v>0</v>
      </c>
      <c r="L11" s="117">
        <f t="shared" si="5"/>
        <v>0</v>
      </c>
      <c r="M11" s="117">
        <f t="shared" si="5"/>
        <v>0</v>
      </c>
      <c r="N11" s="117">
        <f t="shared" si="5"/>
        <v>0</v>
      </c>
      <c r="O11" s="117">
        <f t="shared" si="5"/>
        <v>0</v>
      </c>
      <c r="P11" s="117">
        <f t="shared" si="5"/>
        <v>0</v>
      </c>
      <c r="Q11" s="117">
        <f t="shared" si="5"/>
        <v>0</v>
      </c>
      <c r="R11" s="117">
        <f t="shared" si="5"/>
        <v>0</v>
      </c>
      <c r="S11" s="117">
        <f t="shared" si="5"/>
        <v>0</v>
      </c>
      <c r="T11" s="117">
        <f t="shared" si="5"/>
        <v>0</v>
      </c>
      <c r="U11" s="117">
        <f t="shared" si="5"/>
        <v>0</v>
      </c>
      <c r="V11" s="117">
        <f t="shared" si="5"/>
        <v>0</v>
      </c>
      <c r="W11" s="117">
        <f t="shared" si="5"/>
        <v>0</v>
      </c>
      <c r="X11" s="117">
        <f t="shared" si="5"/>
        <v>0</v>
      </c>
      <c r="Y11" s="118">
        <f t="shared" si="1"/>
        <v>0</v>
      </c>
      <c r="Z11" s="118">
        <f t="shared" si="1"/>
        <v>0</v>
      </c>
      <c r="AA11" s="118">
        <f t="shared" si="1"/>
        <v>0</v>
      </c>
      <c r="AB11" s="118">
        <f t="shared" si="1"/>
        <v>0</v>
      </c>
      <c r="AC11" s="37"/>
    </row>
    <row r="12" spans="1:59" ht="16.5" thickTop="1" thickBot="1" x14ac:dyDescent="0.3">
      <c r="A12" s="43"/>
      <c r="B12" s="43"/>
      <c r="C12" s="43"/>
      <c r="D12" s="43"/>
      <c r="E12" s="44"/>
      <c r="F12" s="44"/>
      <c r="G12" s="43"/>
      <c r="H12" s="119" t="s">
        <v>320</v>
      </c>
      <c r="I12" s="120">
        <f>+I13</f>
        <v>0</v>
      </c>
      <c r="J12" s="120">
        <f t="shared" si="5"/>
        <v>0</v>
      </c>
      <c r="K12" s="120">
        <f t="shared" si="5"/>
        <v>0</v>
      </c>
      <c r="L12" s="120">
        <f t="shared" si="5"/>
        <v>0</v>
      </c>
      <c r="M12" s="120">
        <f t="shared" si="5"/>
        <v>0</v>
      </c>
      <c r="N12" s="120">
        <f t="shared" si="5"/>
        <v>0</v>
      </c>
      <c r="O12" s="120">
        <f t="shared" si="5"/>
        <v>0</v>
      </c>
      <c r="P12" s="120">
        <f t="shared" si="5"/>
        <v>0</v>
      </c>
      <c r="Q12" s="120">
        <f t="shared" si="5"/>
        <v>0</v>
      </c>
      <c r="R12" s="120">
        <f t="shared" si="5"/>
        <v>0</v>
      </c>
      <c r="S12" s="120">
        <f t="shared" si="5"/>
        <v>0</v>
      </c>
      <c r="T12" s="120">
        <f t="shared" si="5"/>
        <v>0</v>
      </c>
      <c r="U12" s="120">
        <f t="shared" si="5"/>
        <v>0</v>
      </c>
      <c r="V12" s="120">
        <f t="shared" si="5"/>
        <v>0</v>
      </c>
      <c r="W12" s="120">
        <f t="shared" si="5"/>
        <v>0</v>
      </c>
      <c r="X12" s="120">
        <f t="shared" si="5"/>
        <v>0</v>
      </c>
      <c r="Y12" s="121">
        <f t="shared" si="1"/>
        <v>0</v>
      </c>
      <c r="Z12" s="121">
        <f t="shared" si="1"/>
        <v>0</v>
      </c>
      <c r="AA12" s="121">
        <f t="shared" si="1"/>
        <v>0</v>
      </c>
      <c r="AB12" s="121">
        <f t="shared" si="1"/>
        <v>0</v>
      </c>
      <c r="AC12" s="37"/>
    </row>
    <row r="13" spans="1:59" ht="16.5" thickTop="1" thickBot="1" x14ac:dyDescent="0.3">
      <c r="A13" s="43"/>
      <c r="B13" s="43"/>
      <c r="C13" s="43"/>
      <c r="D13" s="43"/>
      <c r="E13" s="44"/>
      <c r="F13" s="44"/>
      <c r="G13" s="43"/>
      <c r="H13" s="119" t="s">
        <v>321</v>
      </c>
      <c r="I13" s="120"/>
      <c r="J13" s="120"/>
      <c r="K13" s="120"/>
      <c r="L13" s="120"/>
      <c r="M13" s="120"/>
      <c r="N13" s="120"/>
      <c r="O13" s="120"/>
      <c r="P13" s="120"/>
      <c r="Q13" s="120"/>
      <c r="R13" s="120"/>
      <c r="S13" s="120"/>
      <c r="T13" s="120"/>
      <c r="U13" s="120"/>
      <c r="V13" s="120"/>
      <c r="W13" s="120"/>
      <c r="X13" s="120"/>
      <c r="Y13" s="121">
        <f t="shared" si="1"/>
        <v>0</v>
      </c>
      <c r="Z13" s="121">
        <f t="shared" si="1"/>
        <v>0</v>
      </c>
      <c r="AA13" s="121">
        <f t="shared" si="1"/>
        <v>0</v>
      </c>
      <c r="AB13" s="121">
        <f t="shared" si="1"/>
        <v>0</v>
      </c>
      <c r="AC13" s="37"/>
    </row>
    <row r="14" spans="1:59" s="67" customFormat="1" ht="16.5" thickTop="1" thickBot="1" x14ac:dyDescent="0.3">
      <c r="H14" s="114" t="s">
        <v>323</v>
      </c>
      <c r="I14" s="71">
        <f>+I15+I19</f>
        <v>0</v>
      </c>
      <c r="J14" s="71">
        <f t="shared" ref="J14:X14" si="6">+J15+J19</f>
        <v>0</v>
      </c>
      <c r="K14" s="71">
        <f t="shared" si="6"/>
        <v>0</v>
      </c>
      <c r="L14" s="71">
        <f t="shared" si="6"/>
        <v>0</v>
      </c>
      <c r="M14" s="71">
        <f t="shared" si="6"/>
        <v>0</v>
      </c>
      <c r="N14" s="71">
        <f t="shared" si="6"/>
        <v>0</v>
      </c>
      <c r="O14" s="71">
        <f t="shared" si="6"/>
        <v>0</v>
      </c>
      <c r="P14" s="71">
        <f t="shared" si="6"/>
        <v>0</v>
      </c>
      <c r="Q14" s="71">
        <f t="shared" si="6"/>
        <v>0</v>
      </c>
      <c r="R14" s="71">
        <f t="shared" si="6"/>
        <v>0</v>
      </c>
      <c r="S14" s="71">
        <f t="shared" si="6"/>
        <v>0</v>
      </c>
      <c r="T14" s="71">
        <f t="shared" si="6"/>
        <v>0</v>
      </c>
      <c r="U14" s="71">
        <f t="shared" si="6"/>
        <v>0</v>
      </c>
      <c r="V14" s="71">
        <f t="shared" si="6"/>
        <v>0</v>
      </c>
      <c r="W14" s="71">
        <f t="shared" si="6"/>
        <v>0</v>
      </c>
      <c r="X14" s="71">
        <f t="shared" si="6"/>
        <v>0</v>
      </c>
      <c r="Y14" s="72">
        <f t="shared" si="1"/>
        <v>0</v>
      </c>
      <c r="Z14" s="72">
        <f t="shared" si="1"/>
        <v>0</v>
      </c>
      <c r="AA14" s="72">
        <f t="shared" si="1"/>
        <v>0</v>
      </c>
      <c r="AB14" s="72">
        <f t="shared" si="1"/>
        <v>0</v>
      </c>
      <c r="AC14" s="3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row>
    <row r="15" spans="1:59" s="58" customFormat="1" ht="16.5" thickTop="1" thickBot="1" x14ac:dyDescent="0.3">
      <c r="H15" s="116" t="s">
        <v>324</v>
      </c>
      <c r="I15" s="117">
        <f>+I16</f>
        <v>0</v>
      </c>
      <c r="J15" s="117">
        <f t="shared" ref="J15:X17" si="7">+J16</f>
        <v>0</v>
      </c>
      <c r="K15" s="117">
        <f t="shared" si="7"/>
        <v>0</v>
      </c>
      <c r="L15" s="117">
        <f t="shared" si="7"/>
        <v>0</v>
      </c>
      <c r="M15" s="117">
        <f t="shared" si="7"/>
        <v>0</v>
      </c>
      <c r="N15" s="117">
        <f t="shared" si="7"/>
        <v>0</v>
      </c>
      <c r="O15" s="117">
        <f t="shared" si="7"/>
        <v>0</v>
      </c>
      <c r="P15" s="117">
        <f t="shared" si="7"/>
        <v>0</v>
      </c>
      <c r="Q15" s="117">
        <f t="shared" si="7"/>
        <v>0</v>
      </c>
      <c r="R15" s="117">
        <f t="shared" si="7"/>
        <v>0</v>
      </c>
      <c r="S15" s="117">
        <f t="shared" si="7"/>
        <v>0</v>
      </c>
      <c r="T15" s="117">
        <f t="shared" si="7"/>
        <v>0</v>
      </c>
      <c r="U15" s="117">
        <f t="shared" si="7"/>
        <v>0</v>
      </c>
      <c r="V15" s="117">
        <f t="shared" si="7"/>
        <v>0</v>
      </c>
      <c r="W15" s="117">
        <f t="shared" si="7"/>
        <v>0</v>
      </c>
      <c r="X15" s="117">
        <f t="shared" si="7"/>
        <v>0</v>
      </c>
      <c r="Y15" s="118">
        <f t="shared" si="1"/>
        <v>0</v>
      </c>
      <c r="Z15" s="118">
        <f t="shared" si="1"/>
        <v>0</v>
      </c>
      <c r="AA15" s="118">
        <f t="shared" si="1"/>
        <v>0</v>
      </c>
      <c r="AB15" s="118">
        <f t="shared" si="1"/>
        <v>0</v>
      </c>
      <c r="AC15" s="3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row>
    <row r="16" spans="1:59" ht="16.5" thickTop="1" thickBot="1" x14ac:dyDescent="0.3">
      <c r="A16" s="58"/>
      <c r="B16" s="58"/>
      <c r="C16" s="58"/>
      <c r="D16" s="58"/>
      <c r="E16" s="58"/>
      <c r="F16" s="58"/>
      <c r="G16" s="58"/>
      <c r="H16" s="116" t="s">
        <v>319</v>
      </c>
      <c r="I16" s="117">
        <f>+I17</f>
        <v>0</v>
      </c>
      <c r="J16" s="117">
        <f t="shared" si="7"/>
        <v>0</v>
      </c>
      <c r="K16" s="117">
        <f t="shared" si="7"/>
        <v>0</v>
      </c>
      <c r="L16" s="117">
        <f t="shared" si="7"/>
        <v>0</v>
      </c>
      <c r="M16" s="117">
        <f t="shared" si="7"/>
        <v>0</v>
      </c>
      <c r="N16" s="117">
        <f t="shared" si="7"/>
        <v>0</v>
      </c>
      <c r="O16" s="117">
        <f t="shared" si="7"/>
        <v>0</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8">
        <f t="shared" si="1"/>
        <v>0</v>
      </c>
      <c r="Z16" s="118">
        <f t="shared" si="1"/>
        <v>0</v>
      </c>
      <c r="AA16" s="118">
        <f t="shared" si="1"/>
        <v>0</v>
      </c>
      <c r="AB16" s="118">
        <f t="shared" si="1"/>
        <v>0</v>
      </c>
      <c r="AC16" s="37"/>
    </row>
    <row r="17" spans="1:59" ht="16.5" thickTop="1" thickBot="1" x14ac:dyDescent="0.3">
      <c r="A17" s="43"/>
      <c r="B17" s="43"/>
      <c r="C17" s="45"/>
      <c r="D17" s="43"/>
      <c r="E17" s="44"/>
      <c r="F17" s="43"/>
      <c r="G17" s="43"/>
      <c r="H17" s="119" t="s">
        <v>320</v>
      </c>
      <c r="I17" s="120">
        <f>+I18</f>
        <v>0</v>
      </c>
      <c r="J17" s="120">
        <f t="shared" si="7"/>
        <v>0</v>
      </c>
      <c r="K17" s="120">
        <f t="shared" si="7"/>
        <v>0</v>
      </c>
      <c r="L17" s="120">
        <f t="shared" si="7"/>
        <v>0</v>
      </c>
      <c r="M17" s="120">
        <f t="shared" si="7"/>
        <v>0</v>
      </c>
      <c r="N17" s="120">
        <f t="shared" si="7"/>
        <v>0</v>
      </c>
      <c r="O17" s="120">
        <f t="shared" si="7"/>
        <v>0</v>
      </c>
      <c r="P17" s="120">
        <f t="shared" si="7"/>
        <v>0</v>
      </c>
      <c r="Q17" s="120">
        <f t="shared" si="7"/>
        <v>0</v>
      </c>
      <c r="R17" s="120">
        <f t="shared" si="7"/>
        <v>0</v>
      </c>
      <c r="S17" s="120">
        <f t="shared" si="7"/>
        <v>0</v>
      </c>
      <c r="T17" s="120">
        <f t="shared" si="7"/>
        <v>0</v>
      </c>
      <c r="U17" s="120">
        <f t="shared" si="7"/>
        <v>0</v>
      </c>
      <c r="V17" s="120">
        <f t="shared" si="7"/>
        <v>0</v>
      </c>
      <c r="W17" s="120">
        <f t="shared" si="7"/>
        <v>0</v>
      </c>
      <c r="X17" s="120">
        <f t="shared" si="7"/>
        <v>0</v>
      </c>
      <c r="Y17" s="121">
        <f t="shared" si="1"/>
        <v>0</v>
      </c>
      <c r="Z17" s="121">
        <f t="shared" si="1"/>
        <v>0</v>
      </c>
      <c r="AA17" s="121">
        <f t="shared" si="1"/>
        <v>0</v>
      </c>
      <c r="AB17" s="121">
        <f t="shared" si="1"/>
        <v>0</v>
      </c>
      <c r="AC17" s="37"/>
    </row>
    <row r="18" spans="1:59" ht="16.5" thickTop="1" thickBot="1" x14ac:dyDescent="0.3">
      <c r="A18" s="43"/>
      <c r="B18" s="43"/>
      <c r="C18" s="45"/>
      <c r="D18" s="43"/>
      <c r="E18" s="44"/>
      <c r="F18" s="44"/>
      <c r="G18" s="43"/>
      <c r="H18" s="119" t="s">
        <v>321</v>
      </c>
      <c r="I18" s="120"/>
      <c r="J18" s="120"/>
      <c r="K18" s="120"/>
      <c r="L18" s="120"/>
      <c r="M18" s="120"/>
      <c r="N18" s="120"/>
      <c r="O18" s="120"/>
      <c r="P18" s="120"/>
      <c r="Q18" s="120"/>
      <c r="R18" s="120"/>
      <c r="S18" s="120"/>
      <c r="T18" s="120"/>
      <c r="U18" s="120"/>
      <c r="V18" s="120"/>
      <c r="W18" s="120"/>
      <c r="X18" s="120"/>
      <c r="Y18" s="121">
        <f t="shared" si="1"/>
        <v>0</v>
      </c>
      <c r="Z18" s="121">
        <f t="shared" si="1"/>
        <v>0</v>
      </c>
      <c r="AA18" s="121">
        <f t="shared" si="1"/>
        <v>0</v>
      </c>
      <c r="AB18" s="121">
        <f t="shared" si="1"/>
        <v>0</v>
      </c>
      <c r="AC18" s="37"/>
    </row>
    <row r="19" spans="1:59" s="116" customFormat="1" ht="16.5" thickTop="1" thickBot="1" x14ac:dyDescent="0.3">
      <c r="A19" s="122"/>
      <c r="B19" s="122"/>
      <c r="C19" s="122"/>
      <c r="D19" s="122"/>
      <c r="E19" s="122"/>
      <c r="F19" s="122"/>
      <c r="H19" s="116" t="s">
        <v>326</v>
      </c>
      <c r="I19" s="123">
        <f>+I20</f>
        <v>0</v>
      </c>
      <c r="J19" s="123">
        <f t="shared" ref="J19:X21" si="8">+J20</f>
        <v>0</v>
      </c>
      <c r="K19" s="123">
        <f t="shared" si="8"/>
        <v>0</v>
      </c>
      <c r="L19" s="123">
        <f t="shared" si="8"/>
        <v>0</v>
      </c>
      <c r="M19" s="123">
        <f t="shared" si="8"/>
        <v>0</v>
      </c>
      <c r="N19" s="123">
        <f t="shared" si="8"/>
        <v>0</v>
      </c>
      <c r="O19" s="123">
        <f t="shared" si="8"/>
        <v>0</v>
      </c>
      <c r="P19" s="123">
        <f t="shared" si="8"/>
        <v>0</v>
      </c>
      <c r="Q19" s="123">
        <f t="shared" si="8"/>
        <v>0</v>
      </c>
      <c r="R19" s="123">
        <f t="shared" si="8"/>
        <v>0</v>
      </c>
      <c r="S19" s="123">
        <f t="shared" si="8"/>
        <v>0</v>
      </c>
      <c r="T19" s="123">
        <f t="shared" si="8"/>
        <v>0</v>
      </c>
      <c r="U19" s="123">
        <f t="shared" si="8"/>
        <v>0</v>
      </c>
      <c r="V19" s="123">
        <f t="shared" si="8"/>
        <v>0</v>
      </c>
      <c r="W19" s="123">
        <f t="shared" si="8"/>
        <v>0</v>
      </c>
      <c r="X19" s="123">
        <f t="shared" si="8"/>
        <v>0</v>
      </c>
      <c r="Y19" s="124">
        <f t="shared" si="1"/>
        <v>0</v>
      </c>
      <c r="Z19" s="124">
        <f t="shared" si="1"/>
        <v>0</v>
      </c>
      <c r="AA19" s="124">
        <f t="shared" si="1"/>
        <v>0</v>
      </c>
      <c r="AB19" s="124">
        <f t="shared" si="1"/>
        <v>0</v>
      </c>
      <c r="AC19" s="3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row>
    <row r="20" spans="1:59" ht="16.5" thickTop="1" thickBot="1" x14ac:dyDescent="0.3">
      <c r="A20" s="122"/>
      <c r="B20" s="122"/>
      <c r="C20" s="122"/>
      <c r="D20" s="122"/>
      <c r="E20" s="58"/>
      <c r="F20" s="58"/>
      <c r="G20" s="58"/>
      <c r="H20" s="116" t="s">
        <v>319</v>
      </c>
      <c r="I20" s="117">
        <f>+I21</f>
        <v>0</v>
      </c>
      <c r="J20" s="117">
        <f t="shared" si="8"/>
        <v>0</v>
      </c>
      <c r="K20" s="117">
        <f t="shared" si="8"/>
        <v>0</v>
      </c>
      <c r="L20" s="117">
        <f t="shared" si="8"/>
        <v>0</v>
      </c>
      <c r="M20" s="117">
        <f t="shared" si="8"/>
        <v>0</v>
      </c>
      <c r="N20" s="117">
        <f t="shared" si="8"/>
        <v>0</v>
      </c>
      <c r="O20" s="117">
        <f t="shared" si="8"/>
        <v>0</v>
      </c>
      <c r="P20" s="117">
        <f t="shared" si="8"/>
        <v>0</v>
      </c>
      <c r="Q20" s="117">
        <f t="shared" si="8"/>
        <v>0</v>
      </c>
      <c r="R20" s="117">
        <f t="shared" si="8"/>
        <v>0</v>
      </c>
      <c r="S20" s="117">
        <f t="shared" si="8"/>
        <v>0</v>
      </c>
      <c r="T20" s="117">
        <f t="shared" si="8"/>
        <v>0</v>
      </c>
      <c r="U20" s="117">
        <f t="shared" si="8"/>
        <v>0</v>
      </c>
      <c r="V20" s="117">
        <f t="shared" si="8"/>
        <v>0</v>
      </c>
      <c r="W20" s="117">
        <f t="shared" si="8"/>
        <v>0</v>
      </c>
      <c r="X20" s="117">
        <f t="shared" si="8"/>
        <v>0</v>
      </c>
      <c r="Y20" s="118">
        <f t="shared" si="1"/>
        <v>0</v>
      </c>
      <c r="Z20" s="118">
        <f t="shared" si="1"/>
        <v>0</v>
      </c>
      <c r="AA20" s="118">
        <f t="shared" si="1"/>
        <v>0</v>
      </c>
      <c r="AB20" s="118">
        <f t="shared" si="1"/>
        <v>0</v>
      </c>
      <c r="AC20" s="37"/>
    </row>
    <row r="21" spans="1:59" ht="16.5" thickTop="1" thickBot="1" x14ac:dyDescent="0.3">
      <c r="A21" s="43"/>
      <c r="B21" s="43"/>
      <c r="C21" s="45"/>
      <c r="D21" s="45"/>
      <c r="E21" s="44"/>
      <c r="F21" s="44"/>
      <c r="G21" s="43"/>
      <c r="H21" s="119" t="s">
        <v>320</v>
      </c>
      <c r="I21" s="120">
        <f>+I22</f>
        <v>0</v>
      </c>
      <c r="J21" s="120">
        <f t="shared" si="8"/>
        <v>0</v>
      </c>
      <c r="K21" s="120">
        <f t="shared" si="8"/>
        <v>0</v>
      </c>
      <c r="L21" s="120">
        <f t="shared" si="8"/>
        <v>0</v>
      </c>
      <c r="M21" s="120">
        <f t="shared" si="8"/>
        <v>0</v>
      </c>
      <c r="N21" s="120">
        <f t="shared" si="8"/>
        <v>0</v>
      </c>
      <c r="O21" s="120">
        <f t="shared" si="8"/>
        <v>0</v>
      </c>
      <c r="P21" s="120">
        <f t="shared" si="8"/>
        <v>0</v>
      </c>
      <c r="Q21" s="120">
        <f t="shared" si="8"/>
        <v>0</v>
      </c>
      <c r="R21" s="120">
        <f t="shared" si="8"/>
        <v>0</v>
      </c>
      <c r="S21" s="120">
        <f t="shared" si="8"/>
        <v>0</v>
      </c>
      <c r="T21" s="120">
        <f t="shared" si="8"/>
        <v>0</v>
      </c>
      <c r="U21" s="120">
        <f t="shared" si="8"/>
        <v>0</v>
      </c>
      <c r="V21" s="120">
        <f t="shared" si="8"/>
        <v>0</v>
      </c>
      <c r="W21" s="120">
        <f t="shared" si="8"/>
        <v>0</v>
      </c>
      <c r="X21" s="120">
        <f t="shared" si="8"/>
        <v>0</v>
      </c>
      <c r="Y21" s="121">
        <f t="shared" si="1"/>
        <v>0</v>
      </c>
      <c r="Z21" s="121">
        <f t="shared" si="1"/>
        <v>0</v>
      </c>
      <c r="AA21" s="121">
        <f t="shared" si="1"/>
        <v>0</v>
      </c>
      <c r="AB21" s="121">
        <f t="shared" si="1"/>
        <v>0</v>
      </c>
      <c r="AC21" s="37"/>
    </row>
    <row r="22" spans="1:59" ht="16.5" thickTop="1" thickBot="1" x14ac:dyDescent="0.3">
      <c r="A22" s="43"/>
      <c r="B22" s="43"/>
      <c r="C22" s="45"/>
      <c r="D22" s="45"/>
      <c r="E22" s="44"/>
      <c r="F22" s="44"/>
      <c r="G22" s="44"/>
      <c r="H22" s="119" t="s">
        <v>321</v>
      </c>
      <c r="I22" s="120"/>
      <c r="J22" s="120"/>
      <c r="K22" s="120"/>
      <c r="L22" s="120"/>
      <c r="M22" s="120"/>
      <c r="N22" s="120"/>
      <c r="O22" s="120"/>
      <c r="P22" s="120"/>
      <c r="Q22" s="120"/>
      <c r="R22" s="120"/>
      <c r="S22" s="120"/>
      <c r="T22" s="120"/>
      <c r="U22" s="120"/>
      <c r="V22" s="120"/>
      <c r="W22" s="120"/>
      <c r="X22" s="120"/>
      <c r="Y22" s="121">
        <f t="shared" si="1"/>
        <v>0</v>
      </c>
      <c r="Z22" s="121">
        <f t="shared" si="1"/>
        <v>0</v>
      </c>
      <c r="AA22" s="121">
        <f t="shared" si="1"/>
        <v>0</v>
      </c>
      <c r="AB22" s="121">
        <f t="shared" si="1"/>
        <v>0</v>
      </c>
      <c r="AC22" s="37"/>
    </row>
    <row r="23" spans="1:59" ht="16.5" thickTop="1" thickBot="1" x14ac:dyDescent="0.3">
      <c r="A23" s="67"/>
      <c r="B23" s="38"/>
      <c r="C23" s="38"/>
      <c r="D23" s="38"/>
      <c r="E23" s="67"/>
      <c r="F23" s="67"/>
      <c r="G23" s="67"/>
      <c r="H23" s="112" t="s">
        <v>322</v>
      </c>
      <c r="I23" s="113">
        <f>+I25+I29</f>
        <v>0</v>
      </c>
      <c r="J23" s="113">
        <f t="shared" ref="J23:X23" si="9">+J25+J29</f>
        <v>0</v>
      </c>
      <c r="K23" s="113">
        <f t="shared" si="9"/>
        <v>0</v>
      </c>
      <c r="L23" s="113">
        <f t="shared" si="9"/>
        <v>0</v>
      </c>
      <c r="M23" s="113">
        <f t="shared" si="9"/>
        <v>0</v>
      </c>
      <c r="N23" s="113">
        <f t="shared" si="9"/>
        <v>0</v>
      </c>
      <c r="O23" s="113">
        <f t="shared" si="9"/>
        <v>0</v>
      </c>
      <c r="P23" s="113">
        <f t="shared" si="9"/>
        <v>0</v>
      </c>
      <c r="Q23" s="113">
        <f t="shared" si="9"/>
        <v>0</v>
      </c>
      <c r="R23" s="113">
        <f t="shared" si="9"/>
        <v>0</v>
      </c>
      <c r="S23" s="113">
        <f t="shared" si="9"/>
        <v>0</v>
      </c>
      <c r="T23" s="113">
        <f t="shared" si="9"/>
        <v>0</v>
      </c>
      <c r="U23" s="113">
        <f t="shared" si="9"/>
        <v>0</v>
      </c>
      <c r="V23" s="113">
        <f t="shared" si="9"/>
        <v>0</v>
      </c>
      <c r="W23" s="113">
        <f t="shared" si="9"/>
        <v>0</v>
      </c>
      <c r="X23" s="113">
        <f t="shared" si="9"/>
        <v>0</v>
      </c>
      <c r="Y23" s="115">
        <f t="shared" si="1"/>
        <v>0</v>
      </c>
      <c r="Z23" s="115">
        <f t="shared" si="1"/>
        <v>0</v>
      </c>
      <c r="AA23" s="115">
        <f t="shared" si="1"/>
        <v>0</v>
      </c>
      <c r="AB23" s="115">
        <f t="shared" si="1"/>
        <v>0</v>
      </c>
      <c r="AC23" s="37"/>
    </row>
    <row r="24" spans="1:59" ht="16.5" thickTop="1" thickBot="1" x14ac:dyDescent="0.3">
      <c r="A24" s="67"/>
      <c r="B24" s="38"/>
      <c r="C24" s="38"/>
      <c r="D24" s="94"/>
      <c r="E24" s="95"/>
      <c r="F24" s="95"/>
      <c r="G24" s="95"/>
      <c r="H24" s="114" t="s">
        <v>323</v>
      </c>
      <c r="I24" s="125"/>
      <c r="J24" s="125"/>
      <c r="K24" s="125"/>
      <c r="L24" s="125"/>
      <c r="M24" s="125"/>
      <c r="N24" s="125"/>
      <c r="O24" s="125"/>
      <c r="P24" s="125"/>
      <c r="Q24" s="125"/>
      <c r="R24" s="125"/>
      <c r="S24" s="125"/>
      <c r="T24" s="125"/>
      <c r="U24" s="125"/>
      <c r="V24" s="125"/>
      <c r="W24" s="125"/>
      <c r="X24" s="125"/>
      <c r="Y24" s="126"/>
      <c r="Z24" s="126"/>
      <c r="AA24" s="126"/>
      <c r="AB24" s="126"/>
      <c r="AC24" s="37"/>
    </row>
    <row r="25" spans="1:59" ht="16.5" thickTop="1" thickBot="1" x14ac:dyDescent="0.3">
      <c r="A25" s="58"/>
      <c r="B25" s="58"/>
      <c r="C25" s="58"/>
      <c r="D25" s="58"/>
      <c r="E25" s="58"/>
      <c r="F25" s="58"/>
      <c r="G25" s="58"/>
      <c r="H25" s="116" t="s">
        <v>324</v>
      </c>
      <c r="I25" s="117">
        <f>+I26</f>
        <v>0</v>
      </c>
      <c r="J25" s="117">
        <f t="shared" ref="J25:X27" si="10">+J26</f>
        <v>0</v>
      </c>
      <c r="K25" s="117">
        <f t="shared" si="10"/>
        <v>0</v>
      </c>
      <c r="L25" s="117">
        <f t="shared" si="10"/>
        <v>0</v>
      </c>
      <c r="M25" s="117">
        <f t="shared" si="10"/>
        <v>0</v>
      </c>
      <c r="N25" s="117">
        <f t="shared" si="10"/>
        <v>0</v>
      </c>
      <c r="O25" s="117">
        <f t="shared" si="10"/>
        <v>0</v>
      </c>
      <c r="P25" s="117">
        <f t="shared" si="10"/>
        <v>0</v>
      </c>
      <c r="Q25" s="117">
        <f t="shared" si="10"/>
        <v>0</v>
      </c>
      <c r="R25" s="117">
        <f t="shared" si="10"/>
        <v>0</v>
      </c>
      <c r="S25" s="117">
        <f t="shared" si="10"/>
        <v>0</v>
      </c>
      <c r="T25" s="117">
        <f t="shared" si="10"/>
        <v>0</v>
      </c>
      <c r="U25" s="117">
        <f t="shared" si="10"/>
        <v>0</v>
      </c>
      <c r="V25" s="117">
        <f t="shared" si="10"/>
        <v>0</v>
      </c>
      <c r="W25" s="117">
        <f t="shared" si="10"/>
        <v>0</v>
      </c>
      <c r="X25" s="117">
        <f t="shared" si="10"/>
        <v>0</v>
      </c>
      <c r="Y25" s="118">
        <f t="shared" ref="Y25:AB41" si="11">+I25+M25+Q25+U25</f>
        <v>0</v>
      </c>
      <c r="Z25" s="118">
        <f t="shared" si="11"/>
        <v>0</v>
      </c>
      <c r="AA25" s="118">
        <f t="shared" si="11"/>
        <v>0</v>
      </c>
      <c r="AB25" s="118">
        <f t="shared" si="11"/>
        <v>0</v>
      </c>
      <c r="AC25" s="37"/>
    </row>
    <row r="26" spans="1:59" ht="16.5" thickTop="1" thickBot="1" x14ac:dyDescent="0.3">
      <c r="A26" s="58"/>
      <c r="B26" s="58"/>
      <c r="C26" s="58"/>
      <c r="D26" s="58"/>
      <c r="E26" s="58"/>
      <c r="F26" s="58"/>
      <c r="G26" s="58"/>
      <c r="H26" s="116" t="s">
        <v>319</v>
      </c>
      <c r="I26" s="117">
        <f>+I27</f>
        <v>0</v>
      </c>
      <c r="J26" s="117">
        <f t="shared" si="10"/>
        <v>0</v>
      </c>
      <c r="K26" s="117">
        <f t="shared" si="10"/>
        <v>0</v>
      </c>
      <c r="L26" s="117">
        <f t="shared" si="10"/>
        <v>0</v>
      </c>
      <c r="M26" s="117">
        <f t="shared" si="10"/>
        <v>0</v>
      </c>
      <c r="N26" s="117">
        <f t="shared" si="10"/>
        <v>0</v>
      </c>
      <c r="O26" s="117">
        <f t="shared" si="10"/>
        <v>0</v>
      </c>
      <c r="P26" s="117">
        <f t="shared" si="10"/>
        <v>0</v>
      </c>
      <c r="Q26" s="117">
        <f t="shared" si="10"/>
        <v>0</v>
      </c>
      <c r="R26" s="117">
        <f t="shared" si="10"/>
        <v>0</v>
      </c>
      <c r="S26" s="117">
        <f t="shared" si="10"/>
        <v>0</v>
      </c>
      <c r="T26" s="117">
        <f t="shared" si="10"/>
        <v>0</v>
      </c>
      <c r="U26" s="117">
        <f t="shared" si="10"/>
        <v>0</v>
      </c>
      <c r="V26" s="117">
        <f t="shared" si="10"/>
        <v>0</v>
      </c>
      <c r="W26" s="117">
        <f t="shared" si="10"/>
        <v>0</v>
      </c>
      <c r="X26" s="117">
        <f t="shared" si="10"/>
        <v>0</v>
      </c>
      <c r="Y26" s="118">
        <f t="shared" si="11"/>
        <v>0</v>
      </c>
      <c r="Z26" s="118">
        <f t="shared" si="11"/>
        <v>0</v>
      </c>
      <c r="AA26" s="118">
        <f t="shared" si="11"/>
        <v>0</v>
      </c>
      <c r="AB26" s="118">
        <f t="shared" si="11"/>
        <v>0</v>
      </c>
      <c r="AC26" s="37"/>
    </row>
    <row r="27" spans="1:59" ht="16.5" thickTop="1" thickBot="1" x14ac:dyDescent="0.3">
      <c r="A27" s="43"/>
      <c r="B27" s="43"/>
      <c r="C27" s="43"/>
      <c r="D27" s="43"/>
      <c r="E27" s="44"/>
      <c r="F27" s="44"/>
      <c r="G27" s="43"/>
      <c r="H27" s="119" t="s">
        <v>320</v>
      </c>
      <c r="I27" s="120">
        <f>+I28</f>
        <v>0</v>
      </c>
      <c r="J27" s="120">
        <f t="shared" si="10"/>
        <v>0</v>
      </c>
      <c r="K27" s="120">
        <f t="shared" si="10"/>
        <v>0</v>
      </c>
      <c r="L27" s="120">
        <f t="shared" si="10"/>
        <v>0</v>
      </c>
      <c r="M27" s="120">
        <f t="shared" si="10"/>
        <v>0</v>
      </c>
      <c r="N27" s="120">
        <f t="shared" si="10"/>
        <v>0</v>
      </c>
      <c r="O27" s="120">
        <f t="shared" si="10"/>
        <v>0</v>
      </c>
      <c r="P27" s="120">
        <f t="shared" si="10"/>
        <v>0</v>
      </c>
      <c r="Q27" s="120">
        <f t="shared" si="10"/>
        <v>0</v>
      </c>
      <c r="R27" s="120">
        <f t="shared" si="10"/>
        <v>0</v>
      </c>
      <c r="S27" s="120">
        <f t="shared" si="10"/>
        <v>0</v>
      </c>
      <c r="T27" s="120">
        <f t="shared" si="10"/>
        <v>0</v>
      </c>
      <c r="U27" s="120">
        <f t="shared" si="10"/>
        <v>0</v>
      </c>
      <c r="V27" s="120">
        <f t="shared" si="10"/>
        <v>0</v>
      </c>
      <c r="W27" s="120">
        <f t="shared" si="10"/>
        <v>0</v>
      </c>
      <c r="X27" s="120">
        <f t="shared" si="10"/>
        <v>0</v>
      </c>
      <c r="Y27" s="121">
        <f t="shared" si="11"/>
        <v>0</v>
      </c>
      <c r="Z27" s="121">
        <f t="shared" si="11"/>
        <v>0</v>
      </c>
      <c r="AA27" s="121">
        <f t="shared" si="11"/>
        <v>0</v>
      </c>
      <c r="AB27" s="121">
        <f t="shared" si="11"/>
        <v>0</v>
      </c>
      <c r="AC27" s="37"/>
    </row>
    <row r="28" spans="1:59" ht="16.5" thickTop="1" thickBot="1" x14ac:dyDescent="0.3">
      <c r="A28" s="43"/>
      <c r="B28" s="43"/>
      <c r="C28" s="43"/>
      <c r="D28" s="43"/>
      <c r="E28" s="44"/>
      <c r="F28" s="44"/>
      <c r="G28" s="44"/>
      <c r="H28" s="119" t="s">
        <v>321</v>
      </c>
      <c r="I28" s="120"/>
      <c r="J28" s="120"/>
      <c r="K28" s="120"/>
      <c r="L28" s="120"/>
      <c r="M28" s="120"/>
      <c r="N28" s="120"/>
      <c r="O28" s="120"/>
      <c r="P28" s="120"/>
      <c r="Q28" s="120"/>
      <c r="R28" s="120"/>
      <c r="S28" s="120"/>
      <c r="T28" s="120"/>
      <c r="U28" s="120"/>
      <c r="V28" s="120"/>
      <c r="W28" s="120"/>
      <c r="X28" s="120"/>
      <c r="Y28" s="121">
        <f t="shared" si="11"/>
        <v>0</v>
      </c>
      <c r="Z28" s="121">
        <f t="shared" si="11"/>
        <v>0</v>
      </c>
      <c r="AA28" s="121">
        <f t="shared" si="11"/>
        <v>0</v>
      </c>
      <c r="AB28" s="121">
        <f t="shared" si="11"/>
        <v>0</v>
      </c>
      <c r="AC28" s="37"/>
    </row>
    <row r="29" spans="1:59" ht="16.5" thickTop="1" thickBot="1" x14ac:dyDescent="0.3">
      <c r="A29" s="58"/>
      <c r="B29" s="58"/>
      <c r="C29" s="58"/>
      <c r="D29" s="58"/>
      <c r="E29" s="58"/>
      <c r="F29" s="58"/>
      <c r="G29" s="58"/>
      <c r="H29" s="116" t="s">
        <v>326</v>
      </c>
      <c r="I29" s="117">
        <f>+I30</f>
        <v>0</v>
      </c>
      <c r="J29" s="117">
        <f t="shared" ref="J29:X31" si="12">+J30</f>
        <v>0</v>
      </c>
      <c r="K29" s="117">
        <f t="shared" si="12"/>
        <v>0</v>
      </c>
      <c r="L29" s="117">
        <f t="shared" si="12"/>
        <v>0</v>
      </c>
      <c r="M29" s="117">
        <f t="shared" si="12"/>
        <v>0</v>
      </c>
      <c r="N29" s="117">
        <f t="shared" si="12"/>
        <v>0</v>
      </c>
      <c r="O29" s="117">
        <f t="shared" si="12"/>
        <v>0</v>
      </c>
      <c r="P29" s="117">
        <f t="shared" si="12"/>
        <v>0</v>
      </c>
      <c r="Q29" s="117">
        <f t="shared" si="12"/>
        <v>0</v>
      </c>
      <c r="R29" s="117">
        <f t="shared" si="12"/>
        <v>0</v>
      </c>
      <c r="S29" s="117">
        <f t="shared" si="12"/>
        <v>0</v>
      </c>
      <c r="T29" s="117">
        <f t="shared" si="12"/>
        <v>0</v>
      </c>
      <c r="U29" s="117">
        <f t="shared" si="12"/>
        <v>0</v>
      </c>
      <c r="V29" s="117">
        <f t="shared" si="12"/>
        <v>0</v>
      </c>
      <c r="W29" s="117">
        <f t="shared" si="12"/>
        <v>0</v>
      </c>
      <c r="X29" s="117">
        <f t="shared" si="12"/>
        <v>0</v>
      </c>
      <c r="Y29" s="118">
        <f t="shared" si="11"/>
        <v>0</v>
      </c>
      <c r="Z29" s="118">
        <f t="shared" si="11"/>
        <v>0</v>
      </c>
      <c r="AA29" s="118">
        <f t="shared" si="11"/>
        <v>0</v>
      </c>
      <c r="AB29" s="118">
        <f t="shared" si="11"/>
        <v>0</v>
      </c>
      <c r="AC29" s="37"/>
    </row>
    <row r="30" spans="1:59" ht="16.5" thickTop="1" thickBot="1" x14ac:dyDescent="0.3">
      <c r="A30" s="58"/>
      <c r="B30" s="58"/>
      <c r="C30" s="58"/>
      <c r="D30" s="58"/>
      <c r="E30" s="58"/>
      <c r="F30" s="58"/>
      <c r="G30" s="58"/>
      <c r="H30" s="116" t="s">
        <v>319</v>
      </c>
      <c r="I30" s="117">
        <f>+I31</f>
        <v>0</v>
      </c>
      <c r="J30" s="117">
        <f t="shared" si="12"/>
        <v>0</v>
      </c>
      <c r="K30" s="117">
        <f t="shared" si="12"/>
        <v>0</v>
      </c>
      <c r="L30" s="117">
        <f t="shared" si="12"/>
        <v>0</v>
      </c>
      <c r="M30" s="117">
        <f t="shared" si="12"/>
        <v>0</v>
      </c>
      <c r="N30" s="117">
        <f t="shared" si="12"/>
        <v>0</v>
      </c>
      <c r="O30" s="117">
        <f t="shared" si="12"/>
        <v>0</v>
      </c>
      <c r="P30" s="117">
        <f t="shared" si="12"/>
        <v>0</v>
      </c>
      <c r="Q30" s="117">
        <f t="shared" si="12"/>
        <v>0</v>
      </c>
      <c r="R30" s="117">
        <f t="shared" si="12"/>
        <v>0</v>
      </c>
      <c r="S30" s="117">
        <f t="shared" si="12"/>
        <v>0</v>
      </c>
      <c r="T30" s="117">
        <f t="shared" si="12"/>
        <v>0</v>
      </c>
      <c r="U30" s="117">
        <f t="shared" si="12"/>
        <v>0</v>
      </c>
      <c r="V30" s="117">
        <f t="shared" si="12"/>
        <v>0</v>
      </c>
      <c r="W30" s="117">
        <f t="shared" si="12"/>
        <v>0</v>
      </c>
      <c r="X30" s="117">
        <f t="shared" si="12"/>
        <v>0</v>
      </c>
      <c r="Y30" s="118">
        <f t="shared" si="11"/>
        <v>0</v>
      </c>
      <c r="Z30" s="118">
        <f t="shared" si="11"/>
        <v>0</v>
      </c>
      <c r="AA30" s="118">
        <f t="shared" si="11"/>
        <v>0</v>
      </c>
      <c r="AB30" s="118">
        <f t="shared" si="11"/>
        <v>0</v>
      </c>
      <c r="AC30" s="37"/>
    </row>
    <row r="31" spans="1:59" ht="16.5" thickTop="1" thickBot="1" x14ac:dyDescent="0.3">
      <c r="A31" s="43"/>
      <c r="B31" s="43"/>
      <c r="C31" s="43"/>
      <c r="D31" s="43"/>
      <c r="E31" s="44"/>
      <c r="F31" s="44"/>
      <c r="G31" s="43"/>
      <c r="H31" s="119" t="s">
        <v>320</v>
      </c>
      <c r="I31" s="120">
        <f>+I32</f>
        <v>0</v>
      </c>
      <c r="J31" s="120">
        <f t="shared" si="12"/>
        <v>0</v>
      </c>
      <c r="K31" s="120">
        <f t="shared" si="12"/>
        <v>0</v>
      </c>
      <c r="L31" s="120">
        <f t="shared" si="12"/>
        <v>0</v>
      </c>
      <c r="M31" s="120">
        <f t="shared" si="12"/>
        <v>0</v>
      </c>
      <c r="N31" s="120">
        <f t="shared" si="12"/>
        <v>0</v>
      </c>
      <c r="O31" s="120">
        <f t="shared" si="12"/>
        <v>0</v>
      </c>
      <c r="P31" s="120">
        <f t="shared" si="12"/>
        <v>0</v>
      </c>
      <c r="Q31" s="120">
        <f t="shared" si="12"/>
        <v>0</v>
      </c>
      <c r="R31" s="120">
        <f t="shared" si="12"/>
        <v>0</v>
      </c>
      <c r="S31" s="120">
        <f t="shared" si="12"/>
        <v>0</v>
      </c>
      <c r="T31" s="120">
        <f t="shared" si="12"/>
        <v>0</v>
      </c>
      <c r="U31" s="120">
        <f t="shared" si="12"/>
        <v>0</v>
      </c>
      <c r="V31" s="120">
        <f t="shared" si="12"/>
        <v>0</v>
      </c>
      <c r="W31" s="120">
        <f t="shared" si="12"/>
        <v>0</v>
      </c>
      <c r="X31" s="120">
        <f t="shared" si="12"/>
        <v>0</v>
      </c>
      <c r="Y31" s="121">
        <f t="shared" si="11"/>
        <v>0</v>
      </c>
      <c r="Z31" s="121">
        <f t="shared" si="11"/>
        <v>0</v>
      </c>
      <c r="AA31" s="121">
        <f t="shared" si="11"/>
        <v>0</v>
      </c>
      <c r="AB31" s="121">
        <f t="shared" si="11"/>
        <v>0</v>
      </c>
      <c r="AC31" s="37"/>
    </row>
    <row r="32" spans="1:59" ht="16.5" thickTop="1" thickBot="1" x14ac:dyDescent="0.3">
      <c r="A32" s="43"/>
      <c r="B32" s="43"/>
      <c r="C32" s="43"/>
      <c r="D32" s="43"/>
      <c r="E32" s="44"/>
      <c r="F32" s="44"/>
      <c r="G32" s="43"/>
      <c r="H32" s="119" t="s">
        <v>321</v>
      </c>
      <c r="I32" s="120"/>
      <c r="J32" s="120"/>
      <c r="K32" s="120"/>
      <c r="L32" s="120"/>
      <c r="M32" s="120"/>
      <c r="N32" s="120"/>
      <c r="O32" s="120"/>
      <c r="P32" s="120"/>
      <c r="Q32" s="120"/>
      <c r="R32" s="120"/>
      <c r="S32" s="120"/>
      <c r="T32" s="120"/>
      <c r="U32" s="120"/>
      <c r="V32" s="120"/>
      <c r="W32" s="120"/>
      <c r="X32" s="120"/>
      <c r="Y32" s="121">
        <f t="shared" si="11"/>
        <v>0</v>
      </c>
      <c r="Z32" s="121">
        <f t="shared" si="11"/>
        <v>0</v>
      </c>
      <c r="AA32" s="121">
        <f t="shared" si="11"/>
        <v>0</v>
      </c>
      <c r="AB32" s="121">
        <f t="shared" si="11"/>
        <v>0</v>
      </c>
      <c r="AC32" s="37"/>
    </row>
    <row r="33" spans="1:29" ht="16.5" thickTop="1" thickBot="1" x14ac:dyDescent="0.3">
      <c r="A33" s="67"/>
      <c r="B33" s="67"/>
      <c r="C33" s="67"/>
      <c r="D33" s="67"/>
      <c r="E33" s="67"/>
      <c r="F33" s="67"/>
      <c r="G33" s="67"/>
      <c r="H33" s="114" t="s">
        <v>323</v>
      </c>
      <c r="I33" s="71">
        <f>+I34+I38</f>
        <v>0</v>
      </c>
      <c r="J33" s="71">
        <f t="shared" ref="J33:X33" si="13">+J34+J38</f>
        <v>0</v>
      </c>
      <c r="K33" s="71">
        <f t="shared" si="13"/>
        <v>0</v>
      </c>
      <c r="L33" s="71">
        <f t="shared" si="13"/>
        <v>0</v>
      </c>
      <c r="M33" s="71">
        <f t="shared" si="13"/>
        <v>0</v>
      </c>
      <c r="N33" s="71">
        <f t="shared" si="13"/>
        <v>0</v>
      </c>
      <c r="O33" s="71">
        <f t="shared" si="13"/>
        <v>0</v>
      </c>
      <c r="P33" s="71">
        <f t="shared" si="13"/>
        <v>0</v>
      </c>
      <c r="Q33" s="71">
        <f t="shared" si="13"/>
        <v>0</v>
      </c>
      <c r="R33" s="71">
        <f t="shared" si="13"/>
        <v>0</v>
      </c>
      <c r="S33" s="71">
        <f t="shared" si="13"/>
        <v>0</v>
      </c>
      <c r="T33" s="71">
        <f t="shared" si="13"/>
        <v>0</v>
      </c>
      <c r="U33" s="71">
        <f t="shared" si="13"/>
        <v>0</v>
      </c>
      <c r="V33" s="71">
        <f t="shared" si="13"/>
        <v>0</v>
      </c>
      <c r="W33" s="71">
        <f t="shared" si="13"/>
        <v>0</v>
      </c>
      <c r="X33" s="71">
        <f t="shared" si="13"/>
        <v>0</v>
      </c>
      <c r="Y33" s="72">
        <f t="shared" si="11"/>
        <v>0</v>
      </c>
      <c r="Z33" s="72">
        <f t="shared" si="11"/>
        <v>0</v>
      </c>
      <c r="AA33" s="72">
        <f t="shared" si="11"/>
        <v>0</v>
      </c>
      <c r="AB33" s="72">
        <f t="shared" si="11"/>
        <v>0</v>
      </c>
      <c r="AC33" s="37"/>
    </row>
    <row r="34" spans="1:29" ht="16.5" thickTop="1" thickBot="1" x14ac:dyDescent="0.3">
      <c r="A34" s="58"/>
      <c r="B34" s="58"/>
      <c r="C34" s="58"/>
      <c r="D34" s="58"/>
      <c r="E34" s="58"/>
      <c r="F34" s="58"/>
      <c r="G34" s="58"/>
      <c r="H34" s="116" t="s">
        <v>324</v>
      </c>
      <c r="I34" s="117">
        <f>+I35</f>
        <v>0</v>
      </c>
      <c r="J34" s="117">
        <f t="shared" ref="J34:X36" si="14">+J35</f>
        <v>0</v>
      </c>
      <c r="K34" s="117">
        <f t="shared" si="14"/>
        <v>0</v>
      </c>
      <c r="L34" s="117">
        <f t="shared" si="14"/>
        <v>0</v>
      </c>
      <c r="M34" s="117">
        <f t="shared" si="14"/>
        <v>0</v>
      </c>
      <c r="N34" s="117">
        <f t="shared" si="14"/>
        <v>0</v>
      </c>
      <c r="O34" s="117">
        <f t="shared" si="14"/>
        <v>0</v>
      </c>
      <c r="P34" s="117">
        <f t="shared" si="14"/>
        <v>0</v>
      </c>
      <c r="Q34" s="117">
        <f t="shared" si="14"/>
        <v>0</v>
      </c>
      <c r="R34" s="117">
        <f t="shared" si="14"/>
        <v>0</v>
      </c>
      <c r="S34" s="117">
        <f t="shared" si="14"/>
        <v>0</v>
      </c>
      <c r="T34" s="117">
        <f t="shared" si="14"/>
        <v>0</v>
      </c>
      <c r="U34" s="117">
        <f t="shared" si="14"/>
        <v>0</v>
      </c>
      <c r="V34" s="117">
        <f t="shared" si="14"/>
        <v>0</v>
      </c>
      <c r="W34" s="117">
        <f t="shared" si="14"/>
        <v>0</v>
      </c>
      <c r="X34" s="117">
        <f t="shared" si="14"/>
        <v>0</v>
      </c>
      <c r="Y34" s="118">
        <f t="shared" si="11"/>
        <v>0</v>
      </c>
      <c r="Z34" s="118">
        <f t="shared" si="11"/>
        <v>0</v>
      </c>
      <c r="AA34" s="118">
        <f t="shared" si="11"/>
        <v>0</v>
      </c>
      <c r="AB34" s="118">
        <f t="shared" si="11"/>
        <v>0</v>
      </c>
      <c r="AC34" s="37"/>
    </row>
    <row r="35" spans="1:29" ht="16.5" thickTop="1" thickBot="1" x14ac:dyDescent="0.3">
      <c r="A35" s="58"/>
      <c r="B35" s="58"/>
      <c r="C35" s="58"/>
      <c r="D35" s="58"/>
      <c r="E35" s="58"/>
      <c r="F35" s="58"/>
      <c r="G35" s="58"/>
      <c r="H35" s="116" t="s">
        <v>319</v>
      </c>
      <c r="I35" s="117">
        <f>+I36</f>
        <v>0</v>
      </c>
      <c r="J35" s="117">
        <f t="shared" si="14"/>
        <v>0</v>
      </c>
      <c r="K35" s="117">
        <f t="shared" si="14"/>
        <v>0</v>
      </c>
      <c r="L35" s="117">
        <f t="shared" si="14"/>
        <v>0</v>
      </c>
      <c r="M35" s="117">
        <f t="shared" si="14"/>
        <v>0</v>
      </c>
      <c r="N35" s="117">
        <f t="shared" si="14"/>
        <v>0</v>
      </c>
      <c r="O35" s="117">
        <f t="shared" si="14"/>
        <v>0</v>
      </c>
      <c r="P35" s="117">
        <f t="shared" si="14"/>
        <v>0</v>
      </c>
      <c r="Q35" s="117">
        <f t="shared" si="14"/>
        <v>0</v>
      </c>
      <c r="R35" s="117">
        <f t="shared" si="14"/>
        <v>0</v>
      </c>
      <c r="S35" s="117">
        <f t="shared" si="14"/>
        <v>0</v>
      </c>
      <c r="T35" s="117">
        <f t="shared" si="14"/>
        <v>0</v>
      </c>
      <c r="U35" s="117">
        <f t="shared" si="14"/>
        <v>0</v>
      </c>
      <c r="V35" s="117">
        <f t="shared" si="14"/>
        <v>0</v>
      </c>
      <c r="W35" s="117">
        <f t="shared" si="14"/>
        <v>0</v>
      </c>
      <c r="X35" s="117">
        <f t="shared" si="14"/>
        <v>0</v>
      </c>
      <c r="Y35" s="118">
        <f t="shared" si="11"/>
        <v>0</v>
      </c>
      <c r="Z35" s="118">
        <f t="shared" si="11"/>
        <v>0</v>
      </c>
      <c r="AA35" s="118">
        <f t="shared" si="11"/>
        <v>0</v>
      </c>
      <c r="AB35" s="118">
        <f t="shared" si="11"/>
        <v>0</v>
      </c>
      <c r="AC35" s="37"/>
    </row>
    <row r="36" spans="1:29" ht="16.5" thickTop="1" thickBot="1" x14ac:dyDescent="0.3">
      <c r="A36" s="43"/>
      <c r="B36" s="43"/>
      <c r="C36" s="45"/>
      <c r="D36" s="43"/>
      <c r="E36" s="44"/>
      <c r="F36" s="43"/>
      <c r="G36" s="43"/>
      <c r="H36" s="119" t="s">
        <v>320</v>
      </c>
      <c r="I36" s="120">
        <f>+I37</f>
        <v>0</v>
      </c>
      <c r="J36" s="120">
        <f t="shared" si="14"/>
        <v>0</v>
      </c>
      <c r="K36" s="120">
        <f t="shared" si="14"/>
        <v>0</v>
      </c>
      <c r="L36" s="120">
        <f t="shared" si="14"/>
        <v>0</v>
      </c>
      <c r="M36" s="120">
        <f t="shared" si="14"/>
        <v>0</v>
      </c>
      <c r="N36" s="120">
        <f t="shared" si="14"/>
        <v>0</v>
      </c>
      <c r="O36" s="120">
        <f t="shared" si="14"/>
        <v>0</v>
      </c>
      <c r="P36" s="120">
        <f t="shared" si="14"/>
        <v>0</v>
      </c>
      <c r="Q36" s="120">
        <f t="shared" si="14"/>
        <v>0</v>
      </c>
      <c r="R36" s="120">
        <f t="shared" si="14"/>
        <v>0</v>
      </c>
      <c r="S36" s="120">
        <f t="shared" si="14"/>
        <v>0</v>
      </c>
      <c r="T36" s="120">
        <f t="shared" si="14"/>
        <v>0</v>
      </c>
      <c r="U36" s="120">
        <f t="shared" si="14"/>
        <v>0</v>
      </c>
      <c r="V36" s="120">
        <f t="shared" si="14"/>
        <v>0</v>
      </c>
      <c r="W36" s="120">
        <f t="shared" si="14"/>
        <v>0</v>
      </c>
      <c r="X36" s="120">
        <f t="shared" si="14"/>
        <v>0</v>
      </c>
      <c r="Y36" s="121">
        <f t="shared" si="11"/>
        <v>0</v>
      </c>
      <c r="Z36" s="121">
        <f t="shared" si="11"/>
        <v>0</v>
      </c>
      <c r="AA36" s="121">
        <f t="shared" si="11"/>
        <v>0</v>
      </c>
      <c r="AB36" s="121">
        <f t="shared" si="11"/>
        <v>0</v>
      </c>
      <c r="AC36" s="37"/>
    </row>
    <row r="37" spans="1:29" ht="16.5" thickTop="1" thickBot="1" x14ac:dyDescent="0.3">
      <c r="A37" s="43"/>
      <c r="B37" s="43"/>
      <c r="C37" s="45"/>
      <c r="D37" s="43"/>
      <c r="E37" s="44"/>
      <c r="F37" s="44"/>
      <c r="G37" s="43"/>
      <c r="H37" s="119" t="s">
        <v>321</v>
      </c>
      <c r="I37" s="120"/>
      <c r="J37" s="120"/>
      <c r="K37" s="120"/>
      <c r="L37" s="120"/>
      <c r="M37" s="120"/>
      <c r="N37" s="120"/>
      <c r="O37" s="120"/>
      <c r="P37" s="120"/>
      <c r="Q37" s="120"/>
      <c r="R37" s="120"/>
      <c r="S37" s="120"/>
      <c r="T37" s="120"/>
      <c r="U37" s="120"/>
      <c r="V37" s="120"/>
      <c r="W37" s="120"/>
      <c r="X37" s="120"/>
      <c r="Y37" s="121">
        <f t="shared" si="11"/>
        <v>0</v>
      </c>
      <c r="Z37" s="121">
        <f t="shared" si="11"/>
        <v>0</v>
      </c>
      <c r="AA37" s="121">
        <f t="shared" si="11"/>
        <v>0</v>
      </c>
      <c r="AB37" s="121">
        <f t="shared" si="11"/>
        <v>0</v>
      </c>
      <c r="AC37" s="37"/>
    </row>
    <row r="38" spans="1:29" ht="16.5" thickTop="1" thickBot="1" x14ac:dyDescent="0.3">
      <c r="A38" s="122"/>
      <c r="B38" s="122"/>
      <c r="C38" s="122"/>
      <c r="D38" s="122"/>
      <c r="E38" s="122"/>
      <c r="F38" s="122"/>
      <c r="G38" s="116"/>
      <c r="H38" s="116" t="s">
        <v>326</v>
      </c>
      <c r="I38" s="123">
        <f>+I39</f>
        <v>0</v>
      </c>
      <c r="J38" s="123">
        <f t="shared" ref="J38:X40" si="15">+J39</f>
        <v>0</v>
      </c>
      <c r="K38" s="123">
        <f t="shared" si="15"/>
        <v>0</v>
      </c>
      <c r="L38" s="123">
        <f t="shared" si="15"/>
        <v>0</v>
      </c>
      <c r="M38" s="123">
        <f t="shared" si="15"/>
        <v>0</v>
      </c>
      <c r="N38" s="123">
        <f t="shared" si="15"/>
        <v>0</v>
      </c>
      <c r="O38" s="123">
        <f t="shared" si="15"/>
        <v>0</v>
      </c>
      <c r="P38" s="123">
        <f t="shared" si="15"/>
        <v>0</v>
      </c>
      <c r="Q38" s="123">
        <f t="shared" si="15"/>
        <v>0</v>
      </c>
      <c r="R38" s="123">
        <f t="shared" si="15"/>
        <v>0</v>
      </c>
      <c r="S38" s="123">
        <f t="shared" si="15"/>
        <v>0</v>
      </c>
      <c r="T38" s="123">
        <f t="shared" si="15"/>
        <v>0</v>
      </c>
      <c r="U38" s="123">
        <f t="shared" si="15"/>
        <v>0</v>
      </c>
      <c r="V38" s="123">
        <f t="shared" si="15"/>
        <v>0</v>
      </c>
      <c r="W38" s="123">
        <f t="shared" si="15"/>
        <v>0</v>
      </c>
      <c r="X38" s="123">
        <f t="shared" si="15"/>
        <v>0</v>
      </c>
      <c r="Y38" s="124">
        <f t="shared" si="11"/>
        <v>0</v>
      </c>
      <c r="Z38" s="124">
        <f t="shared" si="11"/>
        <v>0</v>
      </c>
      <c r="AA38" s="124">
        <f t="shared" si="11"/>
        <v>0</v>
      </c>
      <c r="AB38" s="124">
        <f t="shared" si="11"/>
        <v>0</v>
      </c>
      <c r="AC38" s="37"/>
    </row>
    <row r="39" spans="1:29" ht="16.5" thickTop="1" thickBot="1" x14ac:dyDescent="0.3">
      <c r="A39" s="122"/>
      <c r="B39" s="122"/>
      <c r="C39" s="122"/>
      <c r="D39" s="122"/>
      <c r="E39" s="58"/>
      <c r="F39" s="58"/>
      <c r="G39" s="58"/>
      <c r="H39" s="116" t="s">
        <v>319</v>
      </c>
      <c r="I39" s="117">
        <f>+I40</f>
        <v>0</v>
      </c>
      <c r="J39" s="117">
        <f t="shared" si="15"/>
        <v>0</v>
      </c>
      <c r="K39" s="117">
        <f t="shared" si="15"/>
        <v>0</v>
      </c>
      <c r="L39" s="117">
        <f t="shared" si="15"/>
        <v>0</v>
      </c>
      <c r="M39" s="117">
        <f t="shared" si="15"/>
        <v>0</v>
      </c>
      <c r="N39" s="117">
        <f t="shared" si="15"/>
        <v>0</v>
      </c>
      <c r="O39" s="117">
        <f t="shared" si="15"/>
        <v>0</v>
      </c>
      <c r="P39" s="117">
        <f t="shared" si="15"/>
        <v>0</v>
      </c>
      <c r="Q39" s="117">
        <f t="shared" si="15"/>
        <v>0</v>
      </c>
      <c r="R39" s="117">
        <f t="shared" si="15"/>
        <v>0</v>
      </c>
      <c r="S39" s="117">
        <f t="shared" si="15"/>
        <v>0</v>
      </c>
      <c r="T39" s="117">
        <f t="shared" si="15"/>
        <v>0</v>
      </c>
      <c r="U39" s="117">
        <f t="shared" si="15"/>
        <v>0</v>
      </c>
      <c r="V39" s="117">
        <f t="shared" si="15"/>
        <v>0</v>
      </c>
      <c r="W39" s="117">
        <f t="shared" si="15"/>
        <v>0</v>
      </c>
      <c r="X39" s="117">
        <f t="shared" si="15"/>
        <v>0</v>
      </c>
      <c r="Y39" s="118">
        <f t="shared" si="11"/>
        <v>0</v>
      </c>
      <c r="Z39" s="118">
        <f t="shared" si="11"/>
        <v>0</v>
      </c>
      <c r="AA39" s="118">
        <f t="shared" si="11"/>
        <v>0</v>
      </c>
      <c r="AB39" s="118">
        <f t="shared" si="11"/>
        <v>0</v>
      </c>
      <c r="AC39" s="37"/>
    </row>
    <row r="40" spans="1:29" ht="16.5" thickTop="1" thickBot="1" x14ac:dyDescent="0.3">
      <c r="A40" s="43"/>
      <c r="B40" s="43"/>
      <c r="C40" s="45"/>
      <c r="D40" s="45"/>
      <c r="E40" s="44"/>
      <c r="F40" s="44"/>
      <c r="G40" s="43"/>
      <c r="H40" s="119" t="s">
        <v>320</v>
      </c>
      <c r="I40" s="120">
        <f>+I41</f>
        <v>0</v>
      </c>
      <c r="J40" s="120">
        <f t="shared" si="15"/>
        <v>0</v>
      </c>
      <c r="K40" s="120">
        <f t="shared" si="15"/>
        <v>0</v>
      </c>
      <c r="L40" s="120">
        <f t="shared" si="15"/>
        <v>0</v>
      </c>
      <c r="M40" s="120">
        <f t="shared" si="15"/>
        <v>0</v>
      </c>
      <c r="N40" s="120">
        <f t="shared" si="15"/>
        <v>0</v>
      </c>
      <c r="O40" s="120">
        <f t="shared" si="15"/>
        <v>0</v>
      </c>
      <c r="P40" s="120">
        <f t="shared" si="15"/>
        <v>0</v>
      </c>
      <c r="Q40" s="120">
        <f t="shared" si="15"/>
        <v>0</v>
      </c>
      <c r="R40" s="120">
        <f t="shared" si="15"/>
        <v>0</v>
      </c>
      <c r="S40" s="120">
        <f t="shared" si="15"/>
        <v>0</v>
      </c>
      <c r="T40" s="120">
        <f t="shared" si="15"/>
        <v>0</v>
      </c>
      <c r="U40" s="120">
        <f t="shared" si="15"/>
        <v>0</v>
      </c>
      <c r="V40" s="120">
        <f t="shared" si="15"/>
        <v>0</v>
      </c>
      <c r="W40" s="120">
        <f t="shared" si="15"/>
        <v>0</v>
      </c>
      <c r="X40" s="120">
        <f t="shared" si="15"/>
        <v>0</v>
      </c>
      <c r="Y40" s="121">
        <f t="shared" si="11"/>
        <v>0</v>
      </c>
      <c r="Z40" s="121">
        <f t="shared" si="11"/>
        <v>0</v>
      </c>
      <c r="AA40" s="121">
        <f t="shared" si="11"/>
        <v>0</v>
      </c>
      <c r="AB40" s="121">
        <f t="shared" si="11"/>
        <v>0</v>
      </c>
      <c r="AC40" s="37"/>
    </row>
    <row r="41" spans="1:29" ht="16.5" thickTop="1" thickBot="1" x14ac:dyDescent="0.3">
      <c r="A41" s="43"/>
      <c r="B41" s="43"/>
      <c r="C41" s="45"/>
      <c r="D41" s="45"/>
      <c r="E41" s="44"/>
      <c r="F41" s="44"/>
      <c r="G41" s="44"/>
      <c r="H41" s="119" t="s">
        <v>321</v>
      </c>
      <c r="I41" s="120"/>
      <c r="J41" s="120"/>
      <c r="K41" s="120"/>
      <c r="L41" s="120"/>
      <c r="M41" s="120"/>
      <c r="N41" s="120"/>
      <c r="O41" s="120"/>
      <c r="P41" s="120"/>
      <c r="Q41" s="120"/>
      <c r="R41" s="120"/>
      <c r="S41" s="120"/>
      <c r="T41" s="120"/>
      <c r="U41" s="120"/>
      <c r="V41" s="120"/>
      <c r="W41" s="120"/>
      <c r="X41" s="120"/>
      <c r="Y41" s="121">
        <f t="shared" si="11"/>
        <v>0</v>
      </c>
      <c r="Z41" s="121">
        <f t="shared" si="11"/>
        <v>0</v>
      </c>
      <c r="AA41" s="121">
        <f t="shared" si="11"/>
        <v>0</v>
      </c>
      <c r="AB41" s="121">
        <f t="shared" si="11"/>
        <v>0</v>
      </c>
      <c r="AC41" s="37"/>
    </row>
    <row r="42" spans="1:29" ht="15.75" thickTop="1" x14ac:dyDescent="0.25"/>
  </sheetData>
  <mergeCells count="13">
    <mergeCell ref="Y1:AB1"/>
    <mergeCell ref="G1:G2"/>
    <mergeCell ref="H1:H2"/>
    <mergeCell ref="I1:L1"/>
    <mergeCell ref="M1:P1"/>
    <mergeCell ref="Q1:T1"/>
    <mergeCell ref="U1:X1"/>
    <mergeCell ref="F1:F2"/>
    <mergeCell ref="A1:A2"/>
    <mergeCell ref="B1:B2"/>
    <mergeCell ref="C1:C2"/>
    <mergeCell ref="D1:D2"/>
    <mergeCell ref="E1:E2"/>
  </mergeCells>
  <printOptions horizontalCentered="1" verticalCentered="1"/>
  <pageMargins left="0.78740157480314965" right="0.78740157480314965" top="0.98425196850393704" bottom="0.98425196850393704" header="0" footer="0"/>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Datos Generales</vt:lpstr>
      <vt:lpstr>Anexo 1 - Inf Gest- Cons. Direc</vt:lpstr>
      <vt:lpstr>Anexo 1- Inf Gest- CARdinal</vt:lpstr>
      <vt:lpstr>Hoja1</vt:lpstr>
      <vt:lpstr>Anexo2 Protocolo Inf Gestión GD</vt:lpstr>
      <vt:lpstr>Anexo 5.1 INGRESOS (2)</vt:lpstr>
      <vt:lpstr>PROTOCOLO INGRESOS (2)</vt:lpstr>
      <vt:lpstr>Anexo 5.2. informe Gastos</vt:lpstr>
      <vt:lpstr>Anexo 5.2-A. Gastos</vt:lpstr>
      <vt:lpstr>Protocolo Gastos</vt:lpstr>
      <vt:lpstr>'Anexo 1- Inf Gest- CARdinal'!Área_de_impresión</vt:lpstr>
      <vt:lpstr>'Anexo2 Protocolo Inf Gestión GD'!Área_de_impresión</vt:lpstr>
      <vt:lpstr>Lista_CAR</vt:lpstr>
      <vt:lpstr>Vigencias</vt:lpstr>
    </vt:vector>
  </TitlesOfParts>
  <Manager>nortiz@claro.net.co</Manager>
  <Company>Derechos protegidos de autor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creator>Edwin Giovanny Ortiz R.</dc:creator>
  <cp:keywords>Documento No Oficial</cp:keywords>
  <dc:description>Matriz elaborada por Néstor Ortiz Pérez, Consultor GIZ-MADS en el marco de PROMAC</dc:description>
  <cp:lastModifiedBy>Rafael Moreno</cp:lastModifiedBy>
  <cp:lastPrinted>2016-11-27T02:57:50Z</cp:lastPrinted>
  <dcterms:created xsi:type="dcterms:W3CDTF">2016-11-26T19:57:08Z</dcterms:created>
  <dcterms:modified xsi:type="dcterms:W3CDTF">2022-06-17T15:46:48Z</dcterms:modified>
  <cp:category>Capacitación</cp:category>
  <cp:contentStatus>Preliminar</cp:contentStatus>
</cp:coreProperties>
</file>